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icha\OneDrive\Desktop\"/>
    </mc:Choice>
  </mc:AlternateContent>
  <xr:revisionPtr revIDLastSave="0" documentId="8_{9681BD11-0D63-4947-BAAB-C062BFE25C8A}" xr6:coauthVersionLast="47" xr6:coauthVersionMax="47" xr10:uidLastSave="{00000000-0000-0000-0000-000000000000}"/>
  <bookViews>
    <workbookView xWindow="86280" yWindow="-105" windowWidth="29040" windowHeight="15720" tabRatio="500" xr2:uid="{00000000-000D-0000-FFFF-FFFF00000000}"/>
  </bookViews>
  <sheets>
    <sheet name="Calculator" sheetId="1" r:id="rId1"/>
    <sheet name="Amortization Schedule" sheetId="2" r:id="rId2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2" l="1"/>
  <c r="C16" i="1"/>
  <c r="C17" i="1" s="1"/>
  <c r="C15" i="1"/>
  <c r="C19" i="1" s="1"/>
  <c r="C32" i="1" l="1"/>
  <c r="C22" i="1"/>
  <c r="C26" i="1" s="1"/>
  <c r="C18" i="1"/>
  <c r="A491" i="2" l="1"/>
  <c r="A485" i="2"/>
  <c r="A475" i="2"/>
  <c r="A474" i="2"/>
  <c r="A464" i="2"/>
  <c r="A453" i="2"/>
  <c r="A443" i="2"/>
  <c r="A442" i="2"/>
  <c r="A432" i="2"/>
  <c r="A423" i="2"/>
  <c r="A419" i="2"/>
  <c r="A415" i="2"/>
  <c r="A484" i="2"/>
  <c r="A473" i="2"/>
  <c r="A463" i="2"/>
  <c r="A462" i="2"/>
  <c r="A452" i="2"/>
  <c r="A441" i="2"/>
  <c r="A431" i="2"/>
  <c r="A430" i="2"/>
  <c r="A483" i="2"/>
  <c r="A482" i="2"/>
  <c r="A472" i="2"/>
  <c r="A461" i="2"/>
  <c r="A451" i="2"/>
  <c r="A450" i="2"/>
  <c r="A440" i="2"/>
  <c r="A429" i="2"/>
  <c r="A422" i="2"/>
  <c r="A418" i="2"/>
  <c r="A414" i="2"/>
  <c r="A481" i="2"/>
  <c r="A471" i="2"/>
  <c r="A470" i="2"/>
  <c r="A460" i="2"/>
  <c r="A449" i="2"/>
  <c r="A439" i="2"/>
  <c r="A438" i="2"/>
  <c r="A428" i="2"/>
  <c r="A480" i="2"/>
  <c r="A469" i="2"/>
  <c r="A459" i="2"/>
  <c r="A458" i="2"/>
  <c r="A448" i="2"/>
  <c r="A437" i="2"/>
  <c r="A427" i="2"/>
  <c r="A426" i="2"/>
  <c r="A421" i="2"/>
  <c r="A417" i="2"/>
  <c r="A479" i="2"/>
  <c r="A478" i="2"/>
  <c r="A468" i="2"/>
  <c r="A457" i="2"/>
  <c r="A447" i="2"/>
  <c r="A446" i="2"/>
  <c r="A436" i="2"/>
  <c r="A425" i="2"/>
  <c r="A477" i="2"/>
  <c r="A467" i="2"/>
  <c r="A466" i="2"/>
  <c r="A456" i="2"/>
  <c r="A445" i="2"/>
  <c r="A435" i="2"/>
  <c r="A434" i="2"/>
  <c r="A424" i="2"/>
  <c r="A420" i="2"/>
  <c r="A416" i="2"/>
  <c r="A490" i="2"/>
  <c r="A411" i="2"/>
  <c r="A407" i="2"/>
  <c r="A403" i="2"/>
  <c r="A399" i="2"/>
  <c r="A395" i="2"/>
  <c r="A391" i="2"/>
  <c r="A387" i="2"/>
  <c r="A383" i="2"/>
  <c r="A379" i="2"/>
  <c r="A375" i="2"/>
  <c r="A371" i="2"/>
  <c r="A367" i="2"/>
  <c r="A363" i="2"/>
  <c r="A359" i="2"/>
  <c r="A355" i="2"/>
  <c r="A351" i="2"/>
  <c r="A489" i="2"/>
  <c r="A488" i="2"/>
  <c r="A444" i="2"/>
  <c r="A410" i="2"/>
  <c r="A406" i="2"/>
  <c r="A402" i="2"/>
  <c r="A398" i="2"/>
  <c r="A394" i="2"/>
  <c r="A390" i="2"/>
  <c r="A386" i="2"/>
  <c r="A382" i="2"/>
  <c r="A378" i="2"/>
  <c r="A374" i="2"/>
  <c r="A370" i="2"/>
  <c r="A366" i="2"/>
  <c r="A362" i="2"/>
  <c r="A358" i="2"/>
  <c r="A354" i="2"/>
  <c r="A487" i="2"/>
  <c r="A465" i="2"/>
  <c r="A486" i="2"/>
  <c r="A413" i="2"/>
  <c r="A409" i="2"/>
  <c r="A405" i="2"/>
  <c r="A401" i="2"/>
  <c r="A397" i="2"/>
  <c r="A393" i="2"/>
  <c r="A389" i="2"/>
  <c r="A385" i="2"/>
  <c r="A381" i="2"/>
  <c r="A377" i="2"/>
  <c r="A373" i="2"/>
  <c r="A369" i="2"/>
  <c r="A455" i="2"/>
  <c r="A433" i="2"/>
  <c r="A412" i="2"/>
  <c r="A408" i="2"/>
  <c r="A404" i="2"/>
  <c r="A400" i="2"/>
  <c r="A396" i="2"/>
  <c r="A392" i="2"/>
  <c r="A388" i="2"/>
  <c r="A384" i="2"/>
  <c r="A350" i="2"/>
  <c r="A346" i="2"/>
  <c r="A342" i="2"/>
  <c r="A338" i="2"/>
  <c r="A334" i="2"/>
  <c r="A330" i="2"/>
  <c r="A326" i="2"/>
  <c r="A322" i="2"/>
  <c r="A318" i="2"/>
  <c r="A314" i="2"/>
  <c r="A310" i="2"/>
  <c r="A306" i="2"/>
  <c r="A302" i="2"/>
  <c r="A298" i="2"/>
  <c r="A294" i="2"/>
  <c r="A290" i="2"/>
  <c r="A286" i="2"/>
  <c r="A282" i="2"/>
  <c r="A454" i="2"/>
  <c r="A365" i="2"/>
  <c r="A357" i="2"/>
  <c r="A353" i="2"/>
  <c r="A352" i="2"/>
  <c r="A349" i="2"/>
  <c r="A345" i="2"/>
  <c r="A341" i="2"/>
  <c r="A337" i="2"/>
  <c r="A333" i="2"/>
  <c r="A329" i="2"/>
  <c r="A325" i="2"/>
  <c r="A321" i="2"/>
  <c r="A317" i="2"/>
  <c r="A313" i="2"/>
  <c r="A309" i="2"/>
  <c r="A305" i="2"/>
  <c r="A476" i="2"/>
  <c r="A360" i="2"/>
  <c r="A368" i="2"/>
  <c r="A348" i="2"/>
  <c r="A344" i="2"/>
  <c r="A340" i="2"/>
  <c r="A336" i="2"/>
  <c r="A332" i="2"/>
  <c r="A328" i="2"/>
  <c r="A324" i="2"/>
  <c r="A320" i="2"/>
  <c r="A316" i="2"/>
  <c r="A312" i="2"/>
  <c r="A308" i="2"/>
  <c r="A376" i="2"/>
  <c r="A347" i="2"/>
  <c r="A343" i="2"/>
  <c r="A339" i="2"/>
  <c r="A335" i="2"/>
  <c r="A331" i="2"/>
  <c r="A327" i="2"/>
  <c r="A323" i="2"/>
  <c r="A303" i="2"/>
  <c r="A297" i="2"/>
  <c r="A296" i="2"/>
  <c r="A295" i="2"/>
  <c r="A281" i="2"/>
  <c r="A280" i="2"/>
  <c r="A276" i="2"/>
  <c r="A272" i="2"/>
  <c r="A268" i="2"/>
  <c r="A264" i="2"/>
  <c r="A260" i="2"/>
  <c r="A256" i="2"/>
  <c r="A252" i="2"/>
  <c r="A248" i="2"/>
  <c r="A244" i="2"/>
  <c r="A240" i="2"/>
  <c r="A236" i="2"/>
  <c r="A232" i="2"/>
  <c r="A228" i="2"/>
  <c r="A372" i="2"/>
  <c r="A304" i="2"/>
  <c r="A301" i="2"/>
  <c r="A300" i="2"/>
  <c r="A299" i="2"/>
  <c r="A285" i="2"/>
  <c r="A284" i="2"/>
  <c r="A283" i="2"/>
  <c r="A279" i="2"/>
  <c r="A275" i="2"/>
  <c r="A271" i="2"/>
  <c r="A267" i="2"/>
  <c r="A263" i="2"/>
  <c r="A259" i="2"/>
  <c r="A255" i="2"/>
  <c r="A251" i="2"/>
  <c r="A247" i="2"/>
  <c r="A243" i="2"/>
  <c r="A239" i="2"/>
  <c r="A235" i="2"/>
  <c r="A231" i="2"/>
  <c r="A227" i="2"/>
  <c r="A380" i="2"/>
  <c r="A364" i="2"/>
  <c r="A311" i="2"/>
  <c r="A307" i="2"/>
  <c r="A289" i="2"/>
  <c r="A288" i="2"/>
  <c r="A287" i="2"/>
  <c r="A278" i="2"/>
  <c r="A274" i="2"/>
  <c r="A270" i="2"/>
  <c r="A266" i="2"/>
  <c r="A262" i="2"/>
  <c r="A258" i="2"/>
  <c r="A254" i="2"/>
  <c r="A250" i="2"/>
  <c r="A246" i="2"/>
  <c r="A242" i="2"/>
  <c r="A238" i="2"/>
  <c r="A234" i="2"/>
  <c r="A230" i="2"/>
  <c r="A226" i="2"/>
  <c r="A361" i="2"/>
  <c r="A319" i="2"/>
  <c r="A293" i="2"/>
  <c r="A292" i="2"/>
  <c r="A291" i="2"/>
  <c r="A277" i="2"/>
  <c r="A273" i="2"/>
  <c r="A269" i="2"/>
  <c r="A265" i="2"/>
  <c r="A261" i="2"/>
  <c r="A257" i="2"/>
  <c r="A253" i="2"/>
  <c r="A237" i="2"/>
  <c r="A225" i="2"/>
  <c r="A221" i="2"/>
  <c r="A217" i="2"/>
  <c r="A213" i="2"/>
  <c r="A209" i="2"/>
  <c r="A205" i="2"/>
  <c r="A201" i="2"/>
  <c r="A197" i="2"/>
  <c r="A193" i="2"/>
  <c r="A189" i="2"/>
  <c r="A185" i="2"/>
  <c r="A181" i="2"/>
  <c r="A177" i="2"/>
  <c r="A173" i="2"/>
  <c r="A169" i="2"/>
  <c r="A165" i="2"/>
  <c r="A161" i="2"/>
  <c r="A157" i="2"/>
  <c r="A153" i="2"/>
  <c r="A149" i="2"/>
  <c r="A145" i="2"/>
  <c r="A141" i="2"/>
  <c r="A137" i="2"/>
  <c r="A133" i="2"/>
  <c r="A129" i="2"/>
  <c r="A125" i="2"/>
  <c r="A121" i="2"/>
  <c r="A117" i="2"/>
  <c r="A241" i="2"/>
  <c r="A245" i="2"/>
  <c r="A224" i="2"/>
  <c r="A220" i="2"/>
  <c r="A216" i="2"/>
  <c r="A212" i="2"/>
  <c r="A208" i="2"/>
  <c r="A204" i="2"/>
  <c r="A200" i="2"/>
  <c r="A196" i="2"/>
  <c r="A192" i="2"/>
  <c r="A188" i="2"/>
  <c r="A184" i="2"/>
  <c r="A180" i="2"/>
  <c r="A176" i="2"/>
  <c r="A172" i="2"/>
  <c r="A168" i="2"/>
  <c r="A164" i="2"/>
  <c r="A160" i="2"/>
  <c r="A156" i="2"/>
  <c r="A152" i="2"/>
  <c r="A148" i="2"/>
  <c r="A144" i="2"/>
  <c r="A140" i="2"/>
  <c r="A136" i="2"/>
  <c r="A132" i="2"/>
  <c r="A128" i="2"/>
  <c r="A124" i="2"/>
  <c r="A120" i="2"/>
  <c r="A116" i="2"/>
  <c r="A249" i="2"/>
  <c r="A356" i="2"/>
  <c r="A223" i="2"/>
  <c r="A219" i="2"/>
  <c r="A215" i="2"/>
  <c r="A211" i="2"/>
  <c r="A207" i="2"/>
  <c r="A203" i="2"/>
  <c r="A199" i="2"/>
  <c r="A195" i="2"/>
  <c r="A191" i="2"/>
  <c r="A187" i="2"/>
  <c r="A183" i="2"/>
  <c r="A179" i="2"/>
  <c r="A175" i="2"/>
  <c r="A171" i="2"/>
  <c r="A167" i="2"/>
  <c r="A163" i="2"/>
  <c r="A159" i="2"/>
  <c r="A155" i="2"/>
  <c r="A151" i="2"/>
  <c r="A147" i="2"/>
  <c r="A143" i="2"/>
  <c r="A139" i="2"/>
  <c r="A135" i="2"/>
  <c r="A131" i="2"/>
  <c r="A127" i="2"/>
  <c r="A123" i="2"/>
  <c r="A119" i="2"/>
  <c r="A315" i="2"/>
  <c r="A229" i="2"/>
  <c r="A222" i="2"/>
  <c r="A218" i="2"/>
  <c r="A214" i="2"/>
  <c r="A210" i="2"/>
  <c r="A206" i="2"/>
  <c r="A202" i="2"/>
  <c r="A198" i="2"/>
  <c r="A194" i="2"/>
  <c r="A190" i="2"/>
  <c r="A186" i="2"/>
  <c r="A182" i="2"/>
  <c r="A178" i="2"/>
  <c r="A174" i="2"/>
  <c r="A170" i="2"/>
  <c r="A166" i="2"/>
  <c r="A162" i="2"/>
  <c r="A158" i="2"/>
  <c r="A154" i="2"/>
  <c r="A150" i="2"/>
  <c r="A146" i="2"/>
  <c r="A142" i="2"/>
  <c r="A138" i="2"/>
  <c r="A134" i="2"/>
  <c r="A130" i="2"/>
  <c r="A126" i="2"/>
  <c r="A122" i="2"/>
  <c r="A118" i="2"/>
  <c r="A112" i="2"/>
  <c r="A108" i="2"/>
  <c r="A104" i="2"/>
  <c r="A100" i="2"/>
  <c r="A96" i="2"/>
  <c r="A92" i="2"/>
  <c r="A88" i="2"/>
  <c r="A84" i="2"/>
  <c r="A80" i="2"/>
  <c r="A76" i="2"/>
  <c r="A72" i="2"/>
  <c r="A68" i="2"/>
  <c r="A64" i="2"/>
  <c r="A60" i="2"/>
  <c r="A56" i="2"/>
  <c r="A52" i="2"/>
  <c r="A48" i="2"/>
  <c r="A44" i="2"/>
  <c r="A40" i="2"/>
  <c r="A36" i="2"/>
  <c r="A32" i="2"/>
  <c r="A28" i="2"/>
  <c r="A24" i="2"/>
  <c r="A20" i="2"/>
  <c r="A16" i="2"/>
  <c r="A233" i="2"/>
  <c r="A115" i="2"/>
  <c r="A111" i="2"/>
  <c r="A107" i="2"/>
  <c r="A103" i="2"/>
  <c r="A99" i="2"/>
  <c r="A95" i="2"/>
  <c r="A91" i="2"/>
  <c r="A87" i="2"/>
  <c r="A83" i="2"/>
  <c r="A79" i="2"/>
  <c r="A75" i="2"/>
  <c r="A71" i="2"/>
  <c r="A67" i="2"/>
  <c r="A63" i="2"/>
  <c r="A59" i="2"/>
  <c r="A55" i="2"/>
  <c r="A51" i="2"/>
  <c r="A47" i="2"/>
  <c r="A43" i="2"/>
  <c r="A39" i="2"/>
  <c r="A35" i="2"/>
  <c r="A110" i="2"/>
  <c r="A105" i="2"/>
  <c r="A78" i="2"/>
  <c r="A73" i="2"/>
  <c r="A46" i="2"/>
  <c r="A41" i="2"/>
  <c r="A27" i="2"/>
  <c r="A26" i="2"/>
  <c r="A25" i="2"/>
  <c r="A106" i="2"/>
  <c r="A101" i="2"/>
  <c r="A74" i="2"/>
  <c r="A69" i="2"/>
  <c r="A42" i="2"/>
  <c r="A37" i="2"/>
  <c r="A102" i="2"/>
  <c r="A97" i="2"/>
  <c r="A70" i="2"/>
  <c r="A65" i="2"/>
  <c r="A38" i="2"/>
  <c r="A31" i="2"/>
  <c r="A30" i="2"/>
  <c r="A29" i="2"/>
  <c r="A15" i="2"/>
  <c r="A14" i="2"/>
  <c r="A98" i="2"/>
  <c r="A93" i="2"/>
  <c r="A66" i="2"/>
  <c r="A61" i="2"/>
  <c r="A13" i="2"/>
  <c r="A58" i="2"/>
  <c r="A94" i="2"/>
  <c r="A89" i="2"/>
  <c r="A62" i="2"/>
  <c r="A57" i="2"/>
  <c r="A34" i="2"/>
  <c r="A33" i="2"/>
  <c r="A19" i="2"/>
  <c r="A18" i="2"/>
  <c r="A17" i="2"/>
  <c r="A45" i="2"/>
  <c r="A90" i="2"/>
  <c r="A85" i="2"/>
  <c r="A53" i="2"/>
  <c r="A12" i="2"/>
  <c r="C20" i="1"/>
  <c r="C21" i="1" s="1"/>
  <c r="C25" i="1" s="1"/>
  <c r="A50" i="2"/>
  <c r="A113" i="2"/>
  <c r="A86" i="2"/>
  <c r="A81" i="2"/>
  <c r="A54" i="2"/>
  <c r="A49" i="2"/>
  <c r="A23" i="2"/>
  <c r="A22" i="2"/>
  <c r="A21" i="2"/>
  <c r="A114" i="2"/>
  <c r="A109" i="2"/>
  <c r="A82" i="2"/>
  <c r="A77" i="2"/>
  <c r="J94" i="2" l="1"/>
  <c r="J35" i="2"/>
  <c r="J88" i="2"/>
  <c r="J218" i="2"/>
  <c r="J249" i="2"/>
  <c r="J185" i="2"/>
  <c r="J258" i="2"/>
  <c r="J301" i="2"/>
  <c r="E316" i="2"/>
  <c r="D316" i="2"/>
  <c r="C316" i="2"/>
  <c r="J316" i="2"/>
  <c r="B316" i="2"/>
  <c r="I316" i="2"/>
  <c r="F316" i="2"/>
  <c r="H316" i="2"/>
  <c r="G316" i="2"/>
  <c r="J294" i="2"/>
  <c r="H455" i="2"/>
  <c r="I455" i="2"/>
  <c r="G455" i="2"/>
  <c r="F455" i="2"/>
  <c r="E455" i="2"/>
  <c r="D455" i="2"/>
  <c r="C455" i="2"/>
  <c r="B455" i="2"/>
  <c r="J455" i="2"/>
  <c r="H488" i="2"/>
  <c r="F488" i="2"/>
  <c r="J488" i="2"/>
  <c r="I488" i="2"/>
  <c r="G488" i="2"/>
  <c r="E488" i="2"/>
  <c r="D488" i="2"/>
  <c r="C488" i="2"/>
  <c r="B488" i="2"/>
  <c r="D445" i="2"/>
  <c r="H445" i="2"/>
  <c r="G445" i="2"/>
  <c r="F445" i="2"/>
  <c r="E445" i="2"/>
  <c r="C445" i="2"/>
  <c r="B445" i="2"/>
  <c r="J445" i="2"/>
  <c r="I445" i="2"/>
  <c r="H427" i="2"/>
  <c r="E427" i="2"/>
  <c r="D427" i="2"/>
  <c r="C427" i="2"/>
  <c r="B427" i="2"/>
  <c r="J427" i="2"/>
  <c r="I427" i="2"/>
  <c r="G427" i="2"/>
  <c r="F427" i="2"/>
  <c r="D473" i="2"/>
  <c r="B473" i="2"/>
  <c r="J473" i="2"/>
  <c r="I473" i="2"/>
  <c r="H473" i="2"/>
  <c r="G473" i="2"/>
  <c r="F473" i="2"/>
  <c r="E473" i="2"/>
  <c r="C473" i="2"/>
  <c r="J29" i="2"/>
  <c r="J27" i="2"/>
  <c r="J28" i="2"/>
  <c r="J126" i="2"/>
  <c r="J222" i="2"/>
  <c r="J203" i="2"/>
  <c r="J212" i="2"/>
  <c r="J157" i="2"/>
  <c r="J230" i="2"/>
  <c r="J307" i="2"/>
  <c r="J304" i="2"/>
  <c r="G335" i="2"/>
  <c r="F335" i="2"/>
  <c r="E335" i="2"/>
  <c r="D335" i="2"/>
  <c r="C335" i="2"/>
  <c r="I335" i="2"/>
  <c r="J335" i="2"/>
  <c r="H335" i="2"/>
  <c r="B335" i="2"/>
  <c r="C325" i="2"/>
  <c r="J325" i="2"/>
  <c r="B325" i="2"/>
  <c r="I325" i="2"/>
  <c r="H325" i="2"/>
  <c r="G325" i="2"/>
  <c r="E325" i="2"/>
  <c r="F325" i="2"/>
  <c r="D325" i="2"/>
  <c r="E401" i="2"/>
  <c r="D401" i="2"/>
  <c r="C401" i="2"/>
  <c r="J401" i="2"/>
  <c r="B401" i="2"/>
  <c r="I401" i="2"/>
  <c r="G401" i="2"/>
  <c r="H401" i="2"/>
  <c r="F401" i="2"/>
  <c r="J77" i="2"/>
  <c r="J85" i="2"/>
  <c r="J93" i="2"/>
  <c r="J101" i="2"/>
  <c r="J55" i="2"/>
  <c r="J233" i="2"/>
  <c r="J76" i="2"/>
  <c r="J142" i="2"/>
  <c r="J206" i="2"/>
  <c r="J155" i="2"/>
  <c r="J132" i="2"/>
  <c r="J196" i="2"/>
  <c r="J141" i="2"/>
  <c r="J173" i="2"/>
  <c r="J257" i="2"/>
  <c r="J293" i="2"/>
  <c r="J246" i="2"/>
  <c r="J278" i="2"/>
  <c r="J227" i="2"/>
  <c r="J259" i="2"/>
  <c r="J285" i="2"/>
  <c r="J82" i="2"/>
  <c r="J90" i="2"/>
  <c r="J98" i="2"/>
  <c r="J106" i="2"/>
  <c r="J105" i="2"/>
  <c r="J59" i="2"/>
  <c r="J91" i="2"/>
  <c r="J16" i="2"/>
  <c r="J48" i="2"/>
  <c r="J80" i="2"/>
  <c r="J112" i="2"/>
  <c r="J146" i="2"/>
  <c r="J178" i="2"/>
  <c r="J210" i="2"/>
  <c r="J127" i="2"/>
  <c r="J159" i="2"/>
  <c r="J191" i="2"/>
  <c r="J223" i="2"/>
  <c r="J136" i="2"/>
  <c r="J168" i="2"/>
  <c r="J200" i="2"/>
  <c r="J241" i="2"/>
  <c r="J145" i="2"/>
  <c r="J177" i="2"/>
  <c r="J209" i="2"/>
  <c r="J261" i="2"/>
  <c r="G319" i="2"/>
  <c r="F319" i="2"/>
  <c r="E319" i="2"/>
  <c r="D319" i="2"/>
  <c r="C319" i="2"/>
  <c r="J319" i="2"/>
  <c r="I319" i="2"/>
  <c r="H319" i="2"/>
  <c r="B319" i="2"/>
  <c r="J250" i="2"/>
  <c r="J287" i="2"/>
  <c r="J231" i="2"/>
  <c r="J263" i="2"/>
  <c r="J299" i="2"/>
  <c r="J240" i="2"/>
  <c r="J272" i="2"/>
  <c r="G323" i="2"/>
  <c r="F323" i="2"/>
  <c r="E323" i="2"/>
  <c r="D323" i="2"/>
  <c r="C323" i="2"/>
  <c r="I323" i="2"/>
  <c r="J323" i="2"/>
  <c r="H323" i="2"/>
  <c r="B323" i="2"/>
  <c r="J308" i="2"/>
  <c r="E340" i="2"/>
  <c r="D340" i="2"/>
  <c r="C340" i="2"/>
  <c r="J340" i="2"/>
  <c r="B340" i="2"/>
  <c r="I340" i="2"/>
  <c r="G340" i="2"/>
  <c r="H340" i="2"/>
  <c r="F340" i="2"/>
  <c r="C313" i="2"/>
  <c r="J313" i="2"/>
  <c r="B313" i="2"/>
  <c r="I313" i="2"/>
  <c r="H313" i="2"/>
  <c r="G313" i="2"/>
  <c r="F313" i="2"/>
  <c r="E313" i="2"/>
  <c r="D313" i="2"/>
  <c r="C345" i="2"/>
  <c r="J345" i="2"/>
  <c r="B345" i="2"/>
  <c r="I345" i="2"/>
  <c r="H345" i="2"/>
  <c r="G345" i="2"/>
  <c r="E345" i="2"/>
  <c r="F345" i="2"/>
  <c r="D345" i="2"/>
  <c r="J286" i="2"/>
  <c r="I318" i="2"/>
  <c r="H318" i="2"/>
  <c r="G318" i="2"/>
  <c r="F318" i="2"/>
  <c r="E318" i="2"/>
  <c r="D318" i="2"/>
  <c r="C318" i="2"/>
  <c r="B318" i="2"/>
  <c r="J318" i="2"/>
  <c r="J350" i="2"/>
  <c r="B350" i="2"/>
  <c r="I350" i="2"/>
  <c r="H350" i="2"/>
  <c r="G350" i="2"/>
  <c r="F350" i="2"/>
  <c r="D350" i="2"/>
  <c r="E350" i="2"/>
  <c r="C350" i="2"/>
  <c r="G412" i="2"/>
  <c r="F412" i="2"/>
  <c r="E412" i="2"/>
  <c r="D412" i="2"/>
  <c r="C412" i="2"/>
  <c r="I412" i="2"/>
  <c r="J412" i="2"/>
  <c r="H412" i="2"/>
  <c r="B412" i="2"/>
  <c r="E389" i="2"/>
  <c r="D389" i="2"/>
  <c r="C389" i="2"/>
  <c r="J389" i="2"/>
  <c r="B389" i="2"/>
  <c r="I389" i="2"/>
  <c r="G389" i="2"/>
  <c r="H389" i="2"/>
  <c r="F389" i="2"/>
  <c r="D465" i="2"/>
  <c r="I465" i="2"/>
  <c r="H465" i="2"/>
  <c r="G465" i="2"/>
  <c r="F465" i="2"/>
  <c r="E465" i="2"/>
  <c r="C465" i="2"/>
  <c r="B465" i="2"/>
  <c r="J465" i="2"/>
  <c r="C378" i="2"/>
  <c r="J378" i="2"/>
  <c r="B378" i="2"/>
  <c r="I378" i="2"/>
  <c r="H378" i="2"/>
  <c r="G378" i="2"/>
  <c r="F378" i="2"/>
  <c r="D378" i="2"/>
  <c r="E378" i="2"/>
  <c r="C410" i="2"/>
  <c r="J410" i="2"/>
  <c r="B410" i="2"/>
  <c r="I410" i="2"/>
  <c r="H410" i="2"/>
  <c r="G410" i="2"/>
  <c r="E410" i="2"/>
  <c r="F410" i="2"/>
  <c r="D410" i="2"/>
  <c r="I367" i="2"/>
  <c r="H367" i="2"/>
  <c r="G367" i="2"/>
  <c r="F367" i="2"/>
  <c r="E367" i="2"/>
  <c r="B367" i="2"/>
  <c r="D367" i="2"/>
  <c r="J367" i="2"/>
  <c r="C367" i="2"/>
  <c r="I399" i="2"/>
  <c r="H399" i="2"/>
  <c r="G399" i="2"/>
  <c r="F399" i="2"/>
  <c r="E399" i="2"/>
  <c r="C399" i="2"/>
  <c r="J399" i="2"/>
  <c r="D399" i="2"/>
  <c r="B399" i="2"/>
  <c r="J434" i="2"/>
  <c r="B434" i="2"/>
  <c r="H434" i="2"/>
  <c r="G434" i="2"/>
  <c r="F434" i="2"/>
  <c r="E434" i="2"/>
  <c r="D434" i="2"/>
  <c r="C434" i="2"/>
  <c r="I434" i="2"/>
  <c r="F436" i="2"/>
  <c r="G436" i="2"/>
  <c r="E436" i="2"/>
  <c r="D436" i="2"/>
  <c r="C436" i="2"/>
  <c r="B436" i="2"/>
  <c r="J436" i="2"/>
  <c r="I436" i="2"/>
  <c r="H436" i="2"/>
  <c r="E421" i="2"/>
  <c r="D421" i="2"/>
  <c r="C421" i="2"/>
  <c r="J421" i="2"/>
  <c r="B421" i="2"/>
  <c r="I421" i="2"/>
  <c r="H421" i="2"/>
  <c r="G421" i="2"/>
  <c r="F421" i="2"/>
  <c r="F480" i="2"/>
  <c r="E480" i="2"/>
  <c r="D480" i="2"/>
  <c r="C480" i="2"/>
  <c r="B480" i="2"/>
  <c r="J480" i="2"/>
  <c r="I480" i="2"/>
  <c r="H480" i="2"/>
  <c r="G480" i="2"/>
  <c r="D481" i="2"/>
  <c r="E481" i="2"/>
  <c r="C481" i="2"/>
  <c r="B481" i="2"/>
  <c r="J481" i="2"/>
  <c r="I481" i="2"/>
  <c r="H481" i="2"/>
  <c r="G481" i="2"/>
  <c r="F481" i="2"/>
  <c r="D461" i="2"/>
  <c r="C461" i="2"/>
  <c r="B461" i="2"/>
  <c r="J461" i="2"/>
  <c r="I461" i="2"/>
  <c r="H461" i="2"/>
  <c r="G461" i="2"/>
  <c r="F461" i="2"/>
  <c r="E461" i="2"/>
  <c r="J462" i="2"/>
  <c r="B462" i="2"/>
  <c r="C462" i="2"/>
  <c r="I462" i="2"/>
  <c r="H462" i="2"/>
  <c r="G462" i="2"/>
  <c r="F462" i="2"/>
  <c r="E462" i="2"/>
  <c r="D462" i="2"/>
  <c r="J442" i="2"/>
  <c r="B442" i="2"/>
  <c r="I442" i="2"/>
  <c r="H442" i="2"/>
  <c r="G442" i="2"/>
  <c r="F442" i="2"/>
  <c r="E442" i="2"/>
  <c r="D442" i="2"/>
  <c r="C442" i="2"/>
  <c r="J15" i="2"/>
  <c r="J24" i="2"/>
  <c r="J135" i="2"/>
  <c r="J121" i="2"/>
  <c r="J269" i="2"/>
  <c r="J271" i="2"/>
  <c r="E348" i="2"/>
  <c r="D348" i="2"/>
  <c r="C348" i="2"/>
  <c r="J348" i="2"/>
  <c r="B348" i="2"/>
  <c r="I348" i="2"/>
  <c r="G348" i="2"/>
  <c r="H348" i="2"/>
  <c r="F348" i="2"/>
  <c r="G388" i="2"/>
  <c r="F388" i="2"/>
  <c r="E388" i="2"/>
  <c r="D388" i="2"/>
  <c r="C388" i="2"/>
  <c r="I388" i="2"/>
  <c r="J388" i="2"/>
  <c r="B388" i="2"/>
  <c r="H388" i="2"/>
  <c r="I407" i="2"/>
  <c r="H407" i="2"/>
  <c r="G407" i="2"/>
  <c r="F407" i="2"/>
  <c r="E407" i="2"/>
  <c r="C407" i="2"/>
  <c r="D407" i="2"/>
  <c r="J407" i="2"/>
  <c r="B407" i="2"/>
  <c r="J482" i="2"/>
  <c r="B482" i="2"/>
  <c r="D482" i="2"/>
  <c r="C482" i="2"/>
  <c r="I482" i="2"/>
  <c r="H482" i="2"/>
  <c r="G482" i="2"/>
  <c r="F482" i="2"/>
  <c r="E482" i="2"/>
  <c r="J18" i="2"/>
  <c r="J71" i="2"/>
  <c r="J92" i="2"/>
  <c r="J139" i="2"/>
  <c r="J180" i="2"/>
  <c r="J273" i="2"/>
  <c r="J252" i="2"/>
  <c r="F489" i="2"/>
  <c r="D489" i="2"/>
  <c r="J489" i="2"/>
  <c r="I489" i="2"/>
  <c r="H489" i="2"/>
  <c r="G489" i="2"/>
  <c r="E489" i="2"/>
  <c r="C489" i="2"/>
  <c r="B489" i="2"/>
  <c r="J54" i="2"/>
  <c r="J57" i="2"/>
  <c r="J65" i="2"/>
  <c r="J78" i="2"/>
  <c r="J87" i="2"/>
  <c r="J44" i="2"/>
  <c r="J108" i="2"/>
  <c r="J174" i="2"/>
  <c r="J123" i="2"/>
  <c r="J187" i="2"/>
  <c r="J219" i="2"/>
  <c r="J164" i="2"/>
  <c r="J245" i="2"/>
  <c r="J205" i="2"/>
  <c r="J236" i="2"/>
  <c r="J81" i="2"/>
  <c r="J62" i="2"/>
  <c r="J70" i="2"/>
  <c r="J109" i="2"/>
  <c r="J86" i="2"/>
  <c r="J45" i="2"/>
  <c r="J89" i="2"/>
  <c r="J14" i="2"/>
  <c r="J97" i="2"/>
  <c r="J25" i="2"/>
  <c r="J110" i="2"/>
  <c r="J63" i="2"/>
  <c r="J95" i="2"/>
  <c r="J20" i="2"/>
  <c r="J52" i="2"/>
  <c r="J84" i="2"/>
  <c r="J118" i="2"/>
  <c r="J150" i="2"/>
  <c r="J182" i="2"/>
  <c r="J214" i="2"/>
  <c r="J131" i="2"/>
  <c r="J163" i="2"/>
  <c r="J195" i="2"/>
  <c r="G356" i="2"/>
  <c r="F356" i="2"/>
  <c r="E356" i="2"/>
  <c r="D356" i="2"/>
  <c r="J356" i="2"/>
  <c r="I356" i="2"/>
  <c r="H356" i="2"/>
  <c r="B356" i="2"/>
  <c r="C356" i="2"/>
  <c r="J140" i="2"/>
  <c r="J172" i="2"/>
  <c r="J204" i="2"/>
  <c r="J117" i="2"/>
  <c r="J149" i="2"/>
  <c r="J181" i="2"/>
  <c r="J213" i="2"/>
  <c r="J265" i="2"/>
  <c r="E361" i="2"/>
  <c r="D361" i="2"/>
  <c r="C361" i="2"/>
  <c r="J361" i="2"/>
  <c r="B361" i="2"/>
  <c r="I361" i="2"/>
  <c r="H361" i="2"/>
  <c r="G361" i="2"/>
  <c r="F361" i="2"/>
  <c r="J254" i="2"/>
  <c r="J288" i="2"/>
  <c r="J235" i="2"/>
  <c r="J267" i="2"/>
  <c r="J300" i="2"/>
  <c r="J244" i="2"/>
  <c r="J276" i="2"/>
  <c r="G327" i="2"/>
  <c r="F327" i="2"/>
  <c r="E327" i="2"/>
  <c r="D327" i="2"/>
  <c r="C327" i="2"/>
  <c r="I327" i="2"/>
  <c r="B327" i="2"/>
  <c r="J327" i="2"/>
  <c r="H327" i="2"/>
  <c r="E312" i="2"/>
  <c r="D312" i="2"/>
  <c r="C312" i="2"/>
  <c r="J312" i="2"/>
  <c r="B312" i="2"/>
  <c r="I312" i="2"/>
  <c r="G312" i="2"/>
  <c r="H312" i="2"/>
  <c r="F312" i="2"/>
  <c r="E344" i="2"/>
  <c r="D344" i="2"/>
  <c r="C344" i="2"/>
  <c r="J344" i="2"/>
  <c r="B344" i="2"/>
  <c r="I344" i="2"/>
  <c r="G344" i="2"/>
  <c r="H344" i="2"/>
  <c r="F344" i="2"/>
  <c r="C317" i="2"/>
  <c r="J317" i="2"/>
  <c r="B317" i="2"/>
  <c r="I317" i="2"/>
  <c r="H317" i="2"/>
  <c r="G317" i="2"/>
  <c r="F317" i="2"/>
  <c r="E317" i="2"/>
  <c r="D317" i="2"/>
  <c r="C349" i="2"/>
  <c r="J349" i="2"/>
  <c r="B349" i="2"/>
  <c r="I349" i="2"/>
  <c r="H349" i="2"/>
  <c r="G349" i="2"/>
  <c r="E349" i="2"/>
  <c r="F349" i="2"/>
  <c r="D349" i="2"/>
  <c r="J290" i="2"/>
  <c r="I322" i="2"/>
  <c r="H322" i="2"/>
  <c r="G322" i="2"/>
  <c r="F322" i="2"/>
  <c r="E322" i="2"/>
  <c r="C322" i="2"/>
  <c r="J322" i="2"/>
  <c r="D322" i="2"/>
  <c r="B322" i="2"/>
  <c r="G384" i="2"/>
  <c r="F384" i="2"/>
  <c r="E384" i="2"/>
  <c r="D384" i="2"/>
  <c r="C384" i="2"/>
  <c r="I384" i="2"/>
  <c r="B384" i="2"/>
  <c r="J384" i="2"/>
  <c r="H384" i="2"/>
  <c r="D433" i="2"/>
  <c r="I433" i="2"/>
  <c r="H433" i="2"/>
  <c r="G433" i="2"/>
  <c r="F433" i="2"/>
  <c r="E433" i="2"/>
  <c r="C433" i="2"/>
  <c r="B433" i="2"/>
  <c r="J433" i="2"/>
  <c r="E393" i="2"/>
  <c r="D393" i="2"/>
  <c r="C393" i="2"/>
  <c r="J393" i="2"/>
  <c r="B393" i="2"/>
  <c r="I393" i="2"/>
  <c r="G393" i="2"/>
  <c r="H393" i="2"/>
  <c r="F393" i="2"/>
  <c r="J487" i="2"/>
  <c r="H487" i="2"/>
  <c r="I487" i="2"/>
  <c r="G487" i="2"/>
  <c r="F487" i="2"/>
  <c r="E487" i="2"/>
  <c r="D487" i="2"/>
  <c r="C487" i="2"/>
  <c r="B487" i="2"/>
  <c r="C382" i="2"/>
  <c r="J382" i="2"/>
  <c r="B382" i="2"/>
  <c r="I382" i="2"/>
  <c r="H382" i="2"/>
  <c r="G382" i="2"/>
  <c r="E382" i="2"/>
  <c r="F382" i="2"/>
  <c r="D382" i="2"/>
  <c r="F444" i="2"/>
  <c r="I444" i="2"/>
  <c r="H444" i="2"/>
  <c r="G444" i="2"/>
  <c r="E444" i="2"/>
  <c r="D444" i="2"/>
  <c r="C444" i="2"/>
  <c r="B444" i="2"/>
  <c r="J444" i="2"/>
  <c r="I371" i="2"/>
  <c r="H371" i="2"/>
  <c r="G371" i="2"/>
  <c r="F371" i="2"/>
  <c r="E371" i="2"/>
  <c r="C371" i="2"/>
  <c r="B371" i="2"/>
  <c r="J371" i="2"/>
  <c r="D371" i="2"/>
  <c r="I403" i="2"/>
  <c r="H403" i="2"/>
  <c r="G403" i="2"/>
  <c r="F403" i="2"/>
  <c r="E403" i="2"/>
  <c r="C403" i="2"/>
  <c r="D403" i="2"/>
  <c r="B403" i="2"/>
  <c r="J403" i="2"/>
  <c r="H435" i="2"/>
  <c r="G435" i="2"/>
  <c r="F435" i="2"/>
  <c r="E435" i="2"/>
  <c r="D435" i="2"/>
  <c r="C435" i="2"/>
  <c r="B435" i="2"/>
  <c r="J435" i="2"/>
  <c r="I435" i="2"/>
  <c r="J446" i="2"/>
  <c r="B446" i="2"/>
  <c r="G446" i="2"/>
  <c r="F446" i="2"/>
  <c r="E446" i="2"/>
  <c r="D446" i="2"/>
  <c r="C446" i="2"/>
  <c r="I446" i="2"/>
  <c r="H446" i="2"/>
  <c r="J426" i="2"/>
  <c r="B426" i="2"/>
  <c r="F426" i="2"/>
  <c r="E426" i="2"/>
  <c r="D426" i="2"/>
  <c r="C426" i="2"/>
  <c r="I426" i="2"/>
  <c r="H426" i="2"/>
  <c r="G426" i="2"/>
  <c r="F428" i="2"/>
  <c r="D428" i="2"/>
  <c r="C428" i="2"/>
  <c r="B428" i="2"/>
  <c r="J428" i="2"/>
  <c r="I428" i="2"/>
  <c r="H428" i="2"/>
  <c r="G428" i="2"/>
  <c r="E428" i="2"/>
  <c r="J414" i="2"/>
  <c r="I414" i="2"/>
  <c r="F414" i="2"/>
  <c r="E414" i="2"/>
  <c r="D414" i="2"/>
  <c r="C414" i="2"/>
  <c r="B414" i="2"/>
  <c r="H414" i="2"/>
  <c r="G414" i="2"/>
  <c r="F472" i="2"/>
  <c r="C472" i="2"/>
  <c r="B472" i="2"/>
  <c r="J472" i="2"/>
  <c r="I472" i="2"/>
  <c r="H472" i="2"/>
  <c r="G472" i="2"/>
  <c r="E472" i="2"/>
  <c r="D472" i="2"/>
  <c r="H463" i="2"/>
  <c r="B463" i="2"/>
  <c r="J463" i="2"/>
  <c r="I463" i="2"/>
  <c r="G463" i="2"/>
  <c r="F463" i="2"/>
  <c r="E463" i="2"/>
  <c r="D463" i="2"/>
  <c r="C463" i="2"/>
  <c r="H443" i="2"/>
  <c r="J443" i="2"/>
  <c r="I443" i="2"/>
  <c r="G443" i="2"/>
  <c r="F443" i="2"/>
  <c r="E443" i="2"/>
  <c r="D443" i="2"/>
  <c r="C443" i="2"/>
  <c r="B443" i="2"/>
  <c r="J17" i="2"/>
  <c r="J67" i="2"/>
  <c r="J154" i="2"/>
  <c r="J176" i="2"/>
  <c r="J248" i="2"/>
  <c r="J50" i="2"/>
  <c r="J113" i="2"/>
  <c r="J26" i="2"/>
  <c r="J56" i="2"/>
  <c r="J186" i="2"/>
  <c r="J199" i="2"/>
  <c r="J153" i="2"/>
  <c r="J226" i="2"/>
  <c r="J239" i="2"/>
  <c r="J280" i="2"/>
  <c r="G352" i="2"/>
  <c r="F352" i="2"/>
  <c r="B352" i="2"/>
  <c r="J352" i="2"/>
  <c r="I352" i="2"/>
  <c r="H352" i="2"/>
  <c r="D352" i="2"/>
  <c r="E352" i="2"/>
  <c r="C352" i="2"/>
  <c r="E397" i="2"/>
  <c r="D397" i="2"/>
  <c r="C397" i="2"/>
  <c r="J397" i="2"/>
  <c r="B397" i="2"/>
  <c r="I397" i="2"/>
  <c r="G397" i="2"/>
  <c r="H397" i="2"/>
  <c r="F397" i="2"/>
  <c r="I375" i="2"/>
  <c r="H375" i="2"/>
  <c r="G375" i="2"/>
  <c r="F375" i="2"/>
  <c r="E375" i="2"/>
  <c r="D375" i="2"/>
  <c r="C375" i="2"/>
  <c r="B375" i="2"/>
  <c r="J375" i="2"/>
  <c r="H447" i="2"/>
  <c r="F447" i="2"/>
  <c r="E447" i="2"/>
  <c r="D447" i="2"/>
  <c r="C447" i="2"/>
  <c r="B447" i="2"/>
  <c r="J447" i="2"/>
  <c r="I447" i="2"/>
  <c r="G447" i="2"/>
  <c r="J438" i="2"/>
  <c r="B438" i="2"/>
  <c r="E438" i="2"/>
  <c r="D438" i="2"/>
  <c r="C438" i="2"/>
  <c r="I438" i="2"/>
  <c r="H438" i="2"/>
  <c r="G438" i="2"/>
  <c r="F438" i="2"/>
  <c r="D453" i="2"/>
  <c r="J453" i="2"/>
  <c r="I453" i="2"/>
  <c r="H453" i="2"/>
  <c r="G453" i="2"/>
  <c r="F453" i="2"/>
  <c r="E453" i="2"/>
  <c r="C453" i="2"/>
  <c r="B453" i="2"/>
  <c r="J58" i="2"/>
  <c r="J37" i="2"/>
  <c r="J103" i="2"/>
  <c r="J60" i="2"/>
  <c r="J190" i="2"/>
  <c r="J171" i="2"/>
  <c r="J148" i="2"/>
  <c r="J125" i="2"/>
  <c r="J221" i="2"/>
  <c r="J262" i="2"/>
  <c r="J243" i="2"/>
  <c r="J281" i="2"/>
  <c r="E320" i="2"/>
  <c r="D320" i="2"/>
  <c r="C320" i="2"/>
  <c r="J320" i="2"/>
  <c r="B320" i="2"/>
  <c r="I320" i="2"/>
  <c r="G320" i="2"/>
  <c r="H320" i="2"/>
  <c r="F320" i="2"/>
  <c r="G368" i="2"/>
  <c r="F368" i="2"/>
  <c r="E368" i="2"/>
  <c r="D368" i="2"/>
  <c r="C368" i="2"/>
  <c r="J368" i="2"/>
  <c r="I368" i="2"/>
  <c r="H368" i="2"/>
  <c r="B368" i="2"/>
  <c r="E353" i="2"/>
  <c r="D353" i="2"/>
  <c r="B353" i="2"/>
  <c r="J353" i="2"/>
  <c r="I353" i="2"/>
  <c r="H353" i="2"/>
  <c r="F353" i="2"/>
  <c r="G353" i="2"/>
  <c r="C353" i="2"/>
  <c r="J298" i="2"/>
  <c r="G392" i="2"/>
  <c r="F392" i="2"/>
  <c r="E392" i="2"/>
  <c r="D392" i="2"/>
  <c r="C392" i="2"/>
  <c r="I392" i="2"/>
  <c r="J392" i="2"/>
  <c r="H392" i="2"/>
  <c r="B392" i="2"/>
  <c r="C358" i="2"/>
  <c r="J358" i="2"/>
  <c r="B358" i="2"/>
  <c r="I358" i="2"/>
  <c r="H358" i="2"/>
  <c r="G358" i="2"/>
  <c r="F358" i="2"/>
  <c r="E358" i="2"/>
  <c r="D358" i="2"/>
  <c r="I379" i="2"/>
  <c r="H379" i="2"/>
  <c r="G379" i="2"/>
  <c r="F379" i="2"/>
  <c r="E379" i="2"/>
  <c r="J379" i="2"/>
  <c r="D379" i="2"/>
  <c r="C379" i="2"/>
  <c r="B379" i="2"/>
  <c r="F456" i="2"/>
  <c r="H456" i="2"/>
  <c r="G456" i="2"/>
  <c r="E456" i="2"/>
  <c r="D456" i="2"/>
  <c r="C456" i="2"/>
  <c r="B456" i="2"/>
  <c r="J456" i="2"/>
  <c r="I456" i="2"/>
  <c r="H439" i="2"/>
  <c r="D439" i="2"/>
  <c r="C439" i="2"/>
  <c r="B439" i="2"/>
  <c r="J439" i="2"/>
  <c r="I439" i="2"/>
  <c r="G439" i="2"/>
  <c r="F439" i="2"/>
  <c r="E439" i="2"/>
  <c r="C422" i="2"/>
  <c r="J422" i="2"/>
  <c r="B422" i="2"/>
  <c r="I422" i="2"/>
  <c r="H422" i="2"/>
  <c r="G422" i="2"/>
  <c r="F422" i="2"/>
  <c r="E422" i="2"/>
  <c r="D422" i="2"/>
  <c r="H483" i="2"/>
  <c r="C483" i="2"/>
  <c r="B483" i="2"/>
  <c r="J483" i="2"/>
  <c r="I483" i="2"/>
  <c r="G483" i="2"/>
  <c r="F483" i="2"/>
  <c r="E483" i="2"/>
  <c r="D483" i="2"/>
  <c r="F484" i="2"/>
  <c r="B484" i="2"/>
  <c r="J484" i="2"/>
  <c r="I484" i="2"/>
  <c r="H484" i="2"/>
  <c r="G484" i="2"/>
  <c r="E484" i="2"/>
  <c r="D484" i="2"/>
  <c r="C484" i="2"/>
  <c r="J13" i="2"/>
  <c r="J41" i="2"/>
  <c r="J43" i="2"/>
  <c r="J107" i="2"/>
  <c r="J32" i="2"/>
  <c r="J64" i="2"/>
  <c r="J96" i="2"/>
  <c r="J130" i="2"/>
  <c r="J162" i="2"/>
  <c r="J194" i="2"/>
  <c r="J229" i="2"/>
  <c r="J143" i="2"/>
  <c r="J175" i="2"/>
  <c r="J207" i="2"/>
  <c r="J120" i="2"/>
  <c r="J152" i="2"/>
  <c r="J184" i="2"/>
  <c r="J216" i="2"/>
  <c r="J129" i="2"/>
  <c r="J161" i="2"/>
  <c r="J193" i="2"/>
  <c r="J225" i="2"/>
  <c r="J277" i="2"/>
  <c r="J234" i="2"/>
  <c r="J266" i="2"/>
  <c r="J311" i="2"/>
  <c r="J247" i="2"/>
  <c r="J279" i="2"/>
  <c r="G372" i="2"/>
  <c r="F372" i="2"/>
  <c r="E372" i="2"/>
  <c r="D372" i="2"/>
  <c r="C372" i="2"/>
  <c r="J372" i="2"/>
  <c r="I372" i="2"/>
  <c r="H372" i="2"/>
  <c r="B372" i="2"/>
  <c r="J256" i="2"/>
  <c r="J295" i="2"/>
  <c r="G339" i="2"/>
  <c r="F339" i="2"/>
  <c r="E339" i="2"/>
  <c r="D339" i="2"/>
  <c r="C339" i="2"/>
  <c r="I339" i="2"/>
  <c r="J339" i="2"/>
  <c r="H339" i="2"/>
  <c r="B339" i="2"/>
  <c r="E324" i="2"/>
  <c r="D324" i="2"/>
  <c r="C324" i="2"/>
  <c r="J324" i="2"/>
  <c r="B324" i="2"/>
  <c r="I324" i="2"/>
  <c r="G324" i="2"/>
  <c r="H324" i="2"/>
  <c r="F324" i="2"/>
  <c r="G360" i="2"/>
  <c r="F360" i="2"/>
  <c r="E360" i="2"/>
  <c r="D360" i="2"/>
  <c r="H360" i="2"/>
  <c r="C360" i="2"/>
  <c r="B360" i="2"/>
  <c r="J360" i="2"/>
  <c r="I360" i="2"/>
  <c r="C329" i="2"/>
  <c r="J329" i="2"/>
  <c r="B329" i="2"/>
  <c r="I329" i="2"/>
  <c r="H329" i="2"/>
  <c r="G329" i="2"/>
  <c r="E329" i="2"/>
  <c r="F329" i="2"/>
  <c r="D329" i="2"/>
  <c r="E357" i="2"/>
  <c r="D357" i="2"/>
  <c r="C357" i="2"/>
  <c r="J357" i="2"/>
  <c r="B357" i="2"/>
  <c r="F357" i="2"/>
  <c r="H357" i="2"/>
  <c r="I357" i="2"/>
  <c r="G357" i="2"/>
  <c r="J302" i="2"/>
  <c r="I334" i="2"/>
  <c r="H334" i="2"/>
  <c r="G334" i="2"/>
  <c r="F334" i="2"/>
  <c r="E334" i="2"/>
  <c r="C334" i="2"/>
  <c r="D334" i="2"/>
  <c r="J334" i="2"/>
  <c r="B334" i="2"/>
  <c r="G396" i="2"/>
  <c r="F396" i="2"/>
  <c r="E396" i="2"/>
  <c r="D396" i="2"/>
  <c r="C396" i="2"/>
  <c r="I396" i="2"/>
  <c r="J396" i="2"/>
  <c r="H396" i="2"/>
  <c r="B396" i="2"/>
  <c r="E373" i="2"/>
  <c r="D373" i="2"/>
  <c r="C373" i="2"/>
  <c r="J373" i="2"/>
  <c r="B373" i="2"/>
  <c r="I373" i="2"/>
  <c r="F373" i="2"/>
  <c r="H373" i="2"/>
  <c r="G373" i="2"/>
  <c r="E405" i="2"/>
  <c r="D405" i="2"/>
  <c r="C405" i="2"/>
  <c r="J405" i="2"/>
  <c r="B405" i="2"/>
  <c r="I405" i="2"/>
  <c r="G405" i="2"/>
  <c r="H405" i="2"/>
  <c r="F405" i="2"/>
  <c r="C362" i="2"/>
  <c r="J362" i="2"/>
  <c r="B362" i="2"/>
  <c r="I362" i="2"/>
  <c r="H362" i="2"/>
  <c r="D362" i="2"/>
  <c r="F362" i="2"/>
  <c r="G362" i="2"/>
  <c r="E362" i="2"/>
  <c r="C394" i="2"/>
  <c r="J394" i="2"/>
  <c r="B394" i="2"/>
  <c r="I394" i="2"/>
  <c r="H394" i="2"/>
  <c r="G394" i="2"/>
  <c r="E394" i="2"/>
  <c r="F394" i="2"/>
  <c r="D394" i="2"/>
  <c r="I351" i="2"/>
  <c r="H351" i="2"/>
  <c r="B351" i="2"/>
  <c r="J351" i="2"/>
  <c r="G351" i="2"/>
  <c r="F351" i="2"/>
  <c r="D351" i="2"/>
  <c r="E351" i="2"/>
  <c r="C351" i="2"/>
  <c r="I383" i="2"/>
  <c r="H383" i="2"/>
  <c r="G383" i="2"/>
  <c r="F383" i="2"/>
  <c r="E383" i="2"/>
  <c r="J383" i="2"/>
  <c r="D383" i="2"/>
  <c r="C383" i="2"/>
  <c r="B383" i="2"/>
  <c r="D490" i="2"/>
  <c r="J490" i="2"/>
  <c r="B490" i="2"/>
  <c r="I490" i="2"/>
  <c r="H490" i="2"/>
  <c r="G490" i="2"/>
  <c r="F490" i="2"/>
  <c r="E490" i="2"/>
  <c r="C490" i="2"/>
  <c r="J466" i="2"/>
  <c r="B466" i="2"/>
  <c r="H466" i="2"/>
  <c r="G466" i="2"/>
  <c r="F466" i="2"/>
  <c r="E466" i="2"/>
  <c r="D466" i="2"/>
  <c r="C466" i="2"/>
  <c r="I466" i="2"/>
  <c r="F468" i="2"/>
  <c r="G468" i="2"/>
  <c r="E468" i="2"/>
  <c r="D468" i="2"/>
  <c r="C468" i="2"/>
  <c r="B468" i="2"/>
  <c r="J468" i="2"/>
  <c r="I468" i="2"/>
  <c r="H468" i="2"/>
  <c r="F448" i="2"/>
  <c r="E448" i="2"/>
  <c r="D448" i="2"/>
  <c r="C448" i="2"/>
  <c r="B448" i="2"/>
  <c r="J448" i="2"/>
  <c r="I448" i="2"/>
  <c r="H448" i="2"/>
  <c r="G448" i="2"/>
  <c r="D449" i="2"/>
  <c r="E449" i="2"/>
  <c r="C449" i="2"/>
  <c r="B449" i="2"/>
  <c r="J449" i="2"/>
  <c r="I449" i="2"/>
  <c r="H449" i="2"/>
  <c r="G449" i="2"/>
  <c r="F449" i="2"/>
  <c r="D429" i="2"/>
  <c r="C429" i="2"/>
  <c r="B429" i="2"/>
  <c r="J429" i="2"/>
  <c r="I429" i="2"/>
  <c r="H429" i="2"/>
  <c r="G429" i="2"/>
  <c r="F429" i="2"/>
  <c r="E429" i="2"/>
  <c r="J430" i="2"/>
  <c r="B430" i="2"/>
  <c r="C430" i="2"/>
  <c r="I430" i="2"/>
  <c r="H430" i="2"/>
  <c r="G430" i="2"/>
  <c r="F430" i="2"/>
  <c r="E430" i="2"/>
  <c r="D430" i="2"/>
  <c r="I415" i="2"/>
  <c r="H415" i="2"/>
  <c r="G415" i="2"/>
  <c r="D415" i="2"/>
  <c r="C415" i="2"/>
  <c r="J415" i="2"/>
  <c r="F415" i="2"/>
  <c r="E415" i="2"/>
  <c r="B415" i="2"/>
  <c r="J474" i="2"/>
  <c r="B474" i="2"/>
  <c r="I474" i="2"/>
  <c r="H474" i="2"/>
  <c r="G474" i="2"/>
  <c r="F474" i="2"/>
  <c r="E474" i="2"/>
  <c r="D474" i="2"/>
  <c r="C474" i="2"/>
  <c r="J30" i="2"/>
  <c r="F12" i="2"/>
  <c r="I12" i="2" s="1"/>
  <c r="J12" i="2"/>
  <c r="J69" i="2"/>
  <c r="J79" i="2"/>
  <c r="J36" i="2"/>
  <c r="J68" i="2"/>
  <c r="J100" i="2"/>
  <c r="J134" i="2"/>
  <c r="J166" i="2"/>
  <c r="J198" i="2"/>
  <c r="G315" i="2"/>
  <c r="F315" i="2"/>
  <c r="E315" i="2"/>
  <c r="D315" i="2"/>
  <c r="C315" i="2"/>
  <c r="J315" i="2"/>
  <c r="I315" i="2"/>
  <c r="H315" i="2"/>
  <c r="B315" i="2"/>
  <c r="J147" i="2"/>
  <c r="J179" i="2"/>
  <c r="J211" i="2"/>
  <c r="J124" i="2"/>
  <c r="J156" i="2"/>
  <c r="J188" i="2"/>
  <c r="J220" i="2"/>
  <c r="J133" i="2"/>
  <c r="J165" i="2"/>
  <c r="J197" i="2"/>
  <c r="J237" i="2"/>
  <c r="J291" i="2"/>
  <c r="J238" i="2"/>
  <c r="J270" i="2"/>
  <c r="G364" i="2"/>
  <c r="F364" i="2"/>
  <c r="E364" i="2"/>
  <c r="D364" i="2"/>
  <c r="J364" i="2"/>
  <c r="I364" i="2"/>
  <c r="H364" i="2"/>
  <c r="B364" i="2"/>
  <c r="C364" i="2"/>
  <c r="J251" i="2"/>
  <c r="J283" i="2"/>
  <c r="J228" i="2"/>
  <c r="J260" i="2"/>
  <c r="J296" i="2"/>
  <c r="G343" i="2"/>
  <c r="F343" i="2"/>
  <c r="E343" i="2"/>
  <c r="D343" i="2"/>
  <c r="C343" i="2"/>
  <c r="I343" i="2"/>
  <c r="B343" i="2"/>
  <c r="J343" i="2"/>
  <c r="H343" i="2"/>
  <c r="E328" i="2"/>
  <c r="D328" i="2"/>
  <c r="C328" i="2"/>
  <c r="J328" i="2"/>
  <c r="B328" i="2"/>
  <c r="I328" i="2"/>
  <c r="G328" i="2"/>
  <c r="H328" i="2"/>
  <c r="F328" i="2"/>
  <c r="F476" i="2"/>
  <c r="I476" i="2"/>
  <c r="H476" i="2"/>
  <c r="G476" i="2"/>
  <c r="E476" i="2"/>
  <c r="D476" i="2"/>
  <c r="C476" i="2"/>
  <c r="B476" i="2"/>
  <c r="J476" i="2"/>
  <c r="C333" i="2"/>
  <c r="J333" i="2"/>
  <c r="B333" i="2"/>
  <c r="I333" i="2"/>
  <c r="H333" i="2"/>
  <c r="G333" i="2"/>
  <c r="E333" i="2"/>
  <c r="F333" i="2"/>
  <c r="D333" i="2"/>
  <c r="E365" i="2"/>
  <c r="D365" i="2"/>
  <c r="C365" i="2"/>
  <c r="J365" i="2"/>
  <c r="B365" i="2"/>
  <c r="F365" i="2"/>
  <c r="H365" i="2"/>
  <c r="I365" i="2"/>
  <c r="G365" i="2"/>
  <c r="J306" i="2"/>
  <c r="I338" i="2"/>
  <c r="H338" i="2"/>
  <c r="G338" i="2"/>
  <c r="F338" i="2"/>
  <c r="E338" i="2"/>
  <c r="C338" i="2"/>
  <c r="J338" i="2"/>
  <c r="D338" i="2"/>
  <c r="B338" i="2"/>
  <c r="G400" i="2"/>
  <c r="F400" i="2"/>
  <c r="E400" i="2"/>
  <c r="D400" i="2"/>
  <c r="C400" i="2"/>
  <c r="I400" i="2"/>
  <c r="B400" i="2"/>
  <c r="J400" i="2"/>
  <c r="H400" i="2"/>
  <c r="E377" i="2"/>
  <c r="D377" i="2"/>
  <c r="C377" i="2"/>
  <c r="J377" i="2"/>
  <c r="B377" i="2"/>
  <c r="I377" i="2"/>
  <c r="G377" i="2"/>
  <c r="F377" i="2"/>
  <c r="H377" i="2"/>
  <c r="E409" i="2"/>
  <c r="D409" i="2"/>
  <c r="C409" i="2"/>
  <c r="J409" i="2"/>
  <c r="B409" i="2"/>
  <c r="I409" i="2"/>
  <c r="G409" i="2"/>
  <c r="H409" i="2"/>
  <c r="F409" i="2"/>
  <c r="C366" i="2"/>
  <c r="J366" i="2"/>
  <c r="B366" i="2"/>
  <c r="I366" i="2"/>
  <c r="H366" i="2"/>
  <c r="G366" i="2"/>
  <c r="F366" i="2"/>
  <c r="E366" i="2"/>
  <c r="D366" i="2"/>
  <c r="C398" i="2"/>
  <c r="J398" i="2"/>
  <c r="B398" i="2"/>
  <c r="I398" i="2"/>
  <c r="H398" i="2"/>
  <c r="G398" i="2"/>
  <c r="E398" i="2"/>
  <c r="F398" i="2"/>
  <c r="D398" i="2"/>
  <c r="I355" i="2"/>
  <c r="H355" i="2"/>
  <c r="G355" i="2"/>
  <c r="F355" i="2"/>
  <c r="J355" i="2"/>
  <c r="E355" i="2"/>
  <c r="D355" i="2"/>
  <c r="C355" i="2"/>
  <c r="B355" i="2"/>
  <c r="I387" i="2"/>
  <c r="H387" i="2"/>
  <c r="G387" i="2"/>
  <c r="F387" i="2"/>
  <c r="E387" i="2"/>
  <c r="C387" i="2"/>
  <c r="D387" i="2"/>
  <c r="B387" i="2"/>
  <c r="J387" i="2"/>
  <c r="G416" i="2"/>
  <c r="F416" i="2"/>
  <c r="E416" i="2"/>
  <c r="D416" i="2"/>
  <c r="C416" i="2"/>
  <c r="J416" i="2"/>
  <c r="B416" i="2"/>
  <c r="I416" i="2"/>
  <c r="H416" i="2"/>
  <c r="H467" i="2"/>
  <c r="G467" i="2"/>
  <c r="F467" i="2"/>
  <c r="E467" i="2"/>
  <c r="D467" i="2"/>
  <c r="C467" i="2"/>
  <c r="B467" i="2"/>
  <c r="J467" i="2"/>
  <c r="I467" i="2"/>
  <c r="J478" i="2"/>
  <c r="B478" i="2"/>
  <c r="G478" i="2"/>
  <c r="F478" i="2"/>
  <c r="E478" i="2"/>
  <c r="D478" i="2"/>
  <c r="C478" i="2"/>
  <c r="I478" i="2"/>
  <c r="H478" i="2"/>
  <c r="J458" i="2"/>
  <c r="B458" i="2"/>
  <c r="F458" i="2"/>
  <c r="E458" i="2"/>
  <c r="D458" i="2"/>
  <c r="C458" i="2"/>
  <c r="I458" i="2"/>
  <c r="H458" i="2"/>
  <c r="G458" i="2"/>
  <c r="F460" i="2"/>
  <c r="D460" i="2"/>
  <c r="C460" i="2"/>
  <c r="B460" i="2"/>
  <c r="J460" i="2"/>
  <c r="I460" i="2"/>
  <c r="H460" i="2"/>
  <c r="G460" i="2"/>
  <c r="E460" i="2"/>
  <c r="F440" i="2"/>
  <c r="C440" i="2"/>
  <c r="B440" i="2"/>
  <c r="J440" i="2"/>
  <c r="I440" i="2"/>
  <c r="H440" i="2"/>
  <c r="G440" i="2"/>
  <c r="E440" i="2"/>
  <c r="D440" i="2"/>
  <c r="H431" i="2"/>
  <c r="B431" i="2"/>
  <c r="J431" i="2"/>
  <c r="I431" i="2"/>
  <c r="G431" i="2"/>
  <c r="F431" i="2"/>
  <c r="E431" i="2"/>
  <c r="D431" i="2"/>
  <c r="C431" i="2"/>
  <c r="I419" i="2"/>
  <c r="H419" i="2"/>
  <c r="G419" i="2"/>
  <c r="F419" i="2"/>
  <c r="E419" i="2"/>
  <c r="D419" i="2"/>
  <c r="C419" i="2"/>
  <c r="B419" i="2"/>
  <c r="J419" i="2"/>
  <c r="H475" i="2"/>
  <c r="J475" i="2"/>
  <c r="I475" i="2"/>
  <c r="G475" i="2"/>
  <c r="F475" i="2"/>
  <c r="E475" i="2"/>
  <c r="D475" i="2"/>
  <c r="C475" i="2"/>
  <c r="B475" i="2"/>
  <c r="J102" i="2"/>
  <c r="J122" i="2"/>
  <c r="J167" i="2"/>
  <c r="J208" i="2"/>
  <c r="J217" i="2"/>
  <c r="J289" i="2"/>
  <c r="G331" i="2"/>
  <c r="F331" i="2"/>
  <c r="E331" i="2"/>
  <c r="D331" i="2"/>
  <c r="C331" i="2"/>
  <c r="I331" i="2"/>
  <c r="J331" i="2"/>
  <c r="B331" i="2"/>
  <c r="H331" i="2"/>
  <c r="C321" i="2"/>
  <c r="J321" i="2"/>
  <c r="B321" i="2"/>
  <c r="I321" i="2"/>
  <c r="H321" i="2"/>
  <c r="G321" i="2"/>
  <c r="E321" i="2"/>
  <c r="F321" i="2"/>
  <c r="D321" i="2"/>
  <c r="I326" i="2"/>
  <c r="H326" i="2"/>
  <c r="G326" i="2"/>
  <c r="F326" i="2"/>
  <c r="E326" i="2"/>
  <c r="C326" i="2"/>
  <c r="J326" i="2"/>
  <c r="D326" i="2"/>
  <c r="B326" i="2"/>
  <c r="C386" i="2"/>
  <c r="J386" i="2"/>
  <c r="B386" i="2"/>
  <c r="I386" i="2"/>
  <c r="H386" i="2"/>
  <c r="G386" i="2"/>
  <c r="E386" i="2"/>
  <c r="F386" i="2"/>
  <c r="D386" i="2"/>
  <c r="C418" i="2"/>
  <c r="J418" i="2"/>
  <c r="B418" i="2"/>
  <c r="I418" i="2"/>
  <c r="H418" i="2"/>
  <c r="G418" i="2"/>
  <c r="F418" i="2"/>
  <c r="E418" i="2"/>
  <c r="D418" i="2"/>
  <c r="J21" i="2"/>
  <c r="J39" i="2"/>
  <c r="J158" i="2"/>
  <c r="J116" i="2"/>
  <c r="J189" i="2"/>
  <c r="J275" i="2"/>
  <c r="I330" i="2"/>
  <c r="H330" i="2"/>
  <c r="G330" i="2"/>
  <c r="F330" i="2"/>
  <c r="E330" i="2"/>
  <c r="C330" i="2"/>
  <c r="D330" i="2"/>
  <c r="B330" i="2"/>
  <c r="J330" i="2"/>
  <c r="E369" i="2"/>
  <c r="D369" i="2"/>
  <c r="C369" i="2"/>
  <c r="J369" i="2"/>
  <c r="B369" i="2"/>
  <c r="I369" i="2"/>
  <c r="G369" i="2"/>
  <c r="H369" i="2"/>
  <c r="F369" i="2"/>
  <c r="C390" i="2"/>
  <c r="J390" i="2"/>
  <c r="B390" i="2"/>
  <c r="I390" i="2"/>
  <c r="H390" i="2"/>
  <c r="G390" i="2"/>
  <c r="E390" i="2"/>
  <c r="F390" i="2"/>
  <c r="D390" i="2"/>
  <c r="I411" i="2"/>
  <c r="H411" i="2"/>
  <c r="G411" i="2"/>
  <c r="F411" i="2"/>
  <c r="E411" i="2"/>
  <c r="C411" i="2"/>
  <c r="J411" i="2"/>
  <c r="D411" i="2"/>
  <c r="B411" i="2"/>
  <c r="D457" i="2"/>
  <c r="G457" i="2"/>
  <c r="F457" i="2"/>
  <c r="E457" i="2"/>
  <c r="C457" i="2"/>
  <c r="B457" i="2"/>
  <c r="J457" i="2"/>
  <c r="I457" i="2"/>
  <c r="H457" i="2"/>
  <c r="D437" i="2"/>
  <c r="F437" i="2"/>
  <c r="E437" i="2"/>
  <c r="C437" i="2"/>
  <c r="B437" i="2"/>
  <c r="J437" i="2"/>
  <c r="I437" i="2"/>
  <c r="H437" i="2"/>
  <c r="G437" i="2"/>
  <c r="F464" i="2"/>
  <c r="J464" i="2"/>
  <c r="I464" i="2"/>
  <c r="H464" i="2"/>
  <c r="G464" i="2"/>
  <c r="E464" i="2"/>
  <c r="D464" i="2"/>
  <c r="C464" i="2"/>
  <c r="B464" i="2"/>
  <c r="J22" i="2"/>
  <c r="J19" i="2"/>
  <c r="J42" i="2"/>
  <c r="J75" i="2"/>
  <c r="J23" i="2"/>
  <c r="J33" i="2"/>
  <c r="J61" i="2"/>
  <c r="J31" i="2"/>
  <c r="J46" i="2"/>
  <c r="J47" i="2"/>
  <c r="J111" i="2"/>
  <c r="J49" i="2"/>
  <c r="J53" i="2"/>
  <c r="J34" i="2"/>
  <c r="J66" i="2"/>
  <c r="J38" i="2"/>
  <c r="J74" i="2"/>
  <c r="J73" i="2"/>
  <c r="J51" i="2"/>
  <c r="J83" i="2"/>
  <c r="J115" i="2"/>
  <c r="J40" i="2"/>
  <c r="J72" i="2"/>
  <c r="J104" i="2"/>
  <c r="J138" i="2"/>
  <c r="J170" i="2"/>
  <c r="J202" i="2"/>
  <c r="J119" i="2"/>
  <c r="J151" i="2"/>
  <c r="J183" i="2"/>
  <c r="J215" i="2"/>
  <c r="J128" i="2"/>
  <c r="J160" i="2"/>
  <c r="J192" i="2"/>
  <c r="J224" i="2"/>
  <c r="J137" i="2"/>
  <c r="J169" i="2"/>
  <c r="J201" i="2"/>
  <c r="J253" i="2"/>
  <c r="J292" i="2"/>
  <c r="J242" i="2"/>
  <c r="J274" i="2"/>
  <c r="G380" i="2"/>
  <c r="F380" i="2"/>
  <c r="E380" i="2"/>
  <c r="D380" i="2"/>
  <c r="C380" i="2"/>
  <c r="J380" i="2"/>
  <c r="I380" i="2"/>
  <c r="B380" i="2"/>
  <c r="H380" i="2"/>
  <c r="J255" i="2"/>
  <c r="J284" i="2"/>
  <c r="J232" i="2"/>
  <c r="J264" i="2"/>
  <c r="J297" i="2"/>
  <c r="G347" i="2"/>
  <c r="F347" i="2"/>
  <c r="E347" i="2"/>
  <c r="D347" i="2"/>
  <c r="C347" i="2"/>
  <c r="I347" i="2"/>
  <c r="J347" i="2"/>
  <c r="B347" i="2"/>
  <c r="H347" i="2"/>
  <c r="E332" i="2"/>
  <c r="D332" i="2"/>
  <c r="C332" i="2"/>
  <c r="J332" i="2"/>
  <c r="B332" i="2"/>
  <c r="I332" i="2"/>
  <c r="G332" i="2"/>
  <c r="H332" i="2"/>
  <c r="F332" i="2"/>
  <c r="J305" i="2"/>
  <c r="C337" i="2"/>
  <c r="J337" i="2"/>
  <c r="B337" i="2"/>
  <c r="I337" i="2"/>
  <c r="H337" i="2"/>
  <c r="G337" i="2"/>
  <c r="E337" i="2"/>
  <c r="F337" i="2"/>
  <c r="D337" i="2"/>
  <c r="J454" i="2"/>
  <c r="B454" i="2"/>
  <c r="I454" i="2"/>
  <c r="H454" i="2"/>
  <c r="G454" i="2"/>
  <c r="F454" i="2"/>
  <c r="E454" i="2"/>
  <c r="D454" i="2"/>
  <c r="C454" i="2"/>
  <c r="J310" i="2"/>
  <c r="I342" i="2"/>
  <c r="H342" i="2"/>
  <c r="G342" i="2"/>
  <c r="F342" i="2"/>
  <c r="E342" i="2"/>
  <c r="C342" i="2"/>
  <c r="J342" i="2"/>
  <c r="D342" i="2"/>
  <c r="B342" i="2"/>
  <c r="G404" i="2"/>
  <c r="F404" i="2"/>
  <c r="E404" i="2"/>
  <c r="D404" i="2"/>
  <c r="C404" i="2"/>
  <c r="I404" i="2"/>
  <c r="J404" i="2"/>
  <c r="B404" i="2"/>
  <c r="H404" i="2"/>
  <c r="E381" i="2"/>
  <c r="D381" i="2"/>
  <c r="C381" i="2"/>
  <c r="J381" i="2"/>
  <c r="B381" i="2"/>
  <c r="I381" i="2"/>
  <c r="H381" i="2"/>
  <c r="G381" i="2"/>
  <c r="F381" i="2"/>
  <c r="E413" i="2"/>
  <c r="D413" i="2"/>
  <c r="C413" i="2"/>
  <c r="J413" i="2"/>
  <c r="B413" i="2"/>
  <c r="I413" i="2"/>
  <c r="G413" i="2"/>
  <c r="H413" i="2"/>
  <c r="F413" i="2"/>
  <c r="C370" i="2"/>
  <c r="J370" i="2"/>
  <c r="B370" i="2"/>
  <c r="I370" i="2"/>
  <c r="H370" i="2"/>
  <c r="G370" i="2"/>
  <c r="F370" i="2"/>
  <c r="E370" i="2"/>
  <c r="D370" i="2"/>
  <c r="C402" i="2"/>
  <c r="J402" i="2"/>
  <c r="B402" i="2"/>
  <c r="I402" i="2"/>
  <c r="H402" i="2"/>
  <c r="G402" i="2"/>
  <c r="E402" i="2"/>
  <c r="F402" i="2"/>
  <c r="D402" i="2"/>
  <c r="I359" i="2"/>
  <c r="H359" i="2"/>
  <c r="G359" i="2"/>
  <c r="F359" i="2"/>
  <c r="B359" i="2"/>
  <c r="J359" i="2"/>
  <c r="D359" i="2"/>
  <c r="E359" i="2"/>
  <c r="C359" i="2"/>
  <c r="I391" i="2"/>
  <c r="H391" i="2"/>
  <c r="G391" i="2"/>
  <c r="F391" i="2"/>
  <c r="E391" i="2"/>
  <c r="C391" i="2"/>
  <c r="D391" i="2"/>
  <c r="J391" i="2"/>
  <c r="B391" i="2"/>
  <c r="G420" i="2"/>
  <c r="F420" i="2"/>
  <c r="E420" i="2"/>
  <c r="D420" i="2"/>
  <c r="C420" i="2"/>
  <c r="J420" i="2"/>
  <c r="B420" i="2"/>
  <c r="I420" i="2"/>
  <c r="H420" i="2"/>
  <c r="D477" i="2"/>
  <c r="H477" i="2"/>
  <c r="G477" i="2"/>
  <c r="F477" i="2"/>
  <c r="E477" i="2"/>
  <c r="C477" i="2"/>
  <c r="B477" i="2"/>
  <c r="J477" i="2"/>
  <c r="I477" i="2"/>
  <c r="H479" i="2"/>
  <c r="F479" i="2"/>
  <c r="E479" i="2"/>
  <c r="D479" i="2"/>
  <c r="C479" i="2"/>
  <c r="B479" i="2"/>
  <c r="J479" i="2"/>
  <c r="I479" i="2"/>
  <c r="G479" i="2"/>
  <c r="H459" i="2"/>
  <c r="E459" i="2"/>
  <c r="D459" i="2"/>
  <c r="C459" i="2"/>
  <c r="B459" i="2"/>
  <c r="J459" i="2"/>
  <c r="I459" i="2"/>
  <c r="G459" i="2"/>
  <c r="F459" i="2"/>
  <c r="J470" i="2"/>
  <c r="B470" i="2"/>
  <c r="E470" i="2"/>
  <c r="D470" i="2"/>
  <c r="C470" i="2"/>
  <c r="I470" i="2"/>
  <c r="H470" i="2"/>
  <c r="G470" i="2"/>
  <c r="F470" i="2"/>
  <c r="J450" i="2"/>
  <c r="B450" i="2"/>
  <c r="D450" i="2"/>
  <c r="C450" i="2"/>
  <c r="I450" i="2"/>
  <c r="H450" i="2"/>
  <c r="G450" i="2"/>
  <c r="F450" i="2"/>
  <c r="E450" i="2"/>
  <c r="D441" i="2"/>
  <c r="B441" i="2"/>
  <c r="J441" i="2"/>
  <c r="I441" i="2"/>
  <c r="H441" i="2"/>
  <c r="G441" i="2"/>
  <c r="F441" i="2"/>
  <c r="E441" i="2"/>
  <c r="C441" i="2"/>
  <c r="I423" i="2"/>
  <c r="H423" i="2"/>
  <c r="G423" i="2"/>
  <c r="F423" i="2"/>
  <c r="E423" i="2"/>
  <c r="D423" i="2"/>
  <c r="C423" i="2"/>
  <c r="J423" i="2"/>
  <c r="B423" i="2"/>
  <c r="D485" i="2"/>
  <c r="J485" i="2"/>
  <c r="I485" i="2"/>
  <c r="H485" i="2"/>
  <c r="G485" i="2"/>
  <c r="F485" i="2"/>
  <c r="E485" i="2"/>
  <c r="C485" i="2"/>
  <c r="B485" i="2"/>
  <c r="J114" i="2"/>
  <c r="J99" i="2"/>
  <c r="J144" i="2"/>
  <c r="C354" i="2"/>
  <c r="J354" i="2"/>
  <c r="B354" i="2"/>
  <c r="I354" i="2"/>
  <c r="E354" i="2"/>
  <c r="D354" i="2"/>
  <c r="G354" i="2"/>
  <c r="H354" i="2"/>
  <c r="F354" i="2"/>
  <c r="J268" i="2"/>
  <c r="J303" i="2"/>
  <c r="G376" i="2"/>
  <c r="F376" i="2"/>
  <c r="E376" i="2"/>
  <c r="D376" i="2"/>
  <c r="C376" i="2"/>
  <c r="J376" i="2"/>
  <c r="I376" i="2"/>
  <c r="H376" i="2"/>
  <c r="B376" i="2"/>
  <c r="E336" i="2"/>
  <c r="D336" i="2"/>
  <c r="C336" i="2"/>
  <c r="J336" i="2"/>
  <c r="B336" i="2"/>
  <c r="I336" i="2"/>
  <c r="G336" i="2"/>
  <c r="H336" i="2"/>
  <c r="F336" i="2"/>
  <c r="J309" i="2"/>
  <c r="C341" i="2"/>
  <c r="J341" i="2"/>
  <c r="B341" i="2"/>
  <c r="I341" i="2"/>
  <c r="H341" i="2"/>
  <c r="G341" i="2"/>
  <c r="E341" i="2"/>
  <c r="F341" i="2"/>
  <c r="D341" i="2"/>
  <c r="J282" i="2"/>
  <c r="I314" i="2"/>
  <c r="H314" i="2"/>
  <c r="G314" i="2"/>
  <c r="F314" i="2"/>
  <c r="E314" i="2"/>
  <c r="C314" i="2"/>
  <c r="B314" i="2"/>
  <c r="J314" i="2"/>
  <c r="D314" i="2"/>
  <c r="I346" i="2"/>
  <c r="H346" i="2"/>
  <c r="G346" i="2"/>
  <c r="F346" i="2"/>
  <c r="E346" i="2"/>
  <c r="C346" i="2"/>
  <c r="D346" i="2"/>
  <c r="B346" i="2"/>
  <c r="J346" i="2"/>
  <c r="G408" i="2"/>
  <c r="F408" i="2"/>
  <c r="E408" i="2"/>
  <c r="D408" i="2"/>
  <c r="C408" i="2"/>
  <c r="I408" i="2"/>
  <c r="J408" i="2"/>
  <c r="H408" i="2"/>
  <c r="B408" i="2"/>
  <c r="E385" i="2"/>
  <c r="D385" i="2"/>
  <c r="C385" i="2"/>
  <c r="J385" i="2"/>
  <c r="B385" i="2"/>
  <c r="I385" i="2"/>
  <c r="G385" i="2"/>
  <c r="H385" i="2"/>
  <c r="F385" i="2"/>
  <c r="J486" i="2"/>
  <c r="B486" i="2"/>
  <c r="I486" i="2"/>
  <c r="H486" i="2"/>
  <c r="G486" i="2"/>
  <c r="F486" i="2"/>
  <c r="E486" i="2"/>
  <c r="D486" i="2"/>
  <c r="C486" i="2"/>
  <c r="C374" i="2"/>
  <c r="J374" i="2"/>
  <c r="B374" i="2"/>
  <c r="I374" i="2"/>
  <c r="H374" i="2"/>
  <c r="G374" i="2"/>
  <c r="F374" i="2"/>
  <c r="E374" i="2"/>
  <c r="D374" i="2"/>
  <c r="C406" i="2"/>
  <c r="J406" i="2"/>
  <c r="B406" i="2"/>
  <c r="I406" i="2"/>
  <c r="H406" i="2"/>
  <c r="G406" i="2"/>
  <c r="E406" i="2"/>
  <c r="F406" i="2"/>
  <c r="D406" i="2"/>
  <c r="I363" i="2"/>
  <c r="H363" i="2"/>
  <c r="G363" i="2"/>
  <c r="F363" i="2"/>
  <c r="J363" i="2"/>
  <c r="E363" i="2"/>
  <c r="D363" i="2"/>
  <c r="C363" i="2"/>
  <c r="B363" i="2"/>
  <c r="I395" i="2"/>
  <c r="H395" i="2"/>
  <c r="G395" i="2"/>
  <c r="F395" i="2"/>
  <c r="E395" i="2"/>
  <c r="C395" i="2"/>
  <c r="J395" i="2"/>
  <c r="D395" i="2"/>
  <c r="B395" i="2"/>
  <c r="F424" i="2"/>
  <c r="H424" i="2"/>
  <c r="G424" i="2"/>
  <c r="E424" i="2"/>
  <c r="D424" i="2"/>
  <c r="C424" i="2"/>
  <c r="B424" i="2"/>
  <c r="J424" i="2"/>
  <c r="I424" i="2"/>
  <c r="D425" i="2"/>
  <c r="G425" i="2"/>
  <c r="F425" i="2"/>
  <c r="E425" i="2"/>
  <c r="C425" i="2"/>
  <c r="B425" i="2"/>
  <c r="J425" i="2"/>
  <c r="I425" i="2"/>
  <c r="H425" i="2"/>
  <c r="E417" i="2"/>
  <c r="D417" i="2"/>
  <c r="C417" i="2"/>
  <c r="J417" i="2"/>
  <c r="B417" i="2"/>
  <c r="I417" i="2"/>
  <c r="H417" i="2"/>
  <c r="G417" i="2"/>
  <c r="F417" i="2"/>
  <c r="D469" i="2"/>
  <c r="F469" i="2"/>
  <c r="E469" i="2"/>
  <c r="C469" i="2"/>
  <c r="B469" i="2"/>
  <c r="J469" i="2"/>
  <c r="I469" i="2"/>
  <c r="H469" i="2"/>
  <c r="G469" i="2"/>
  <c r="H471" i="2"/>
  <c r="D471" i="2"/>
  <c r="C471" i="2"/>
  <c r="B471" i="2"/>
  <c r="J471" i="2"/>
  <c r="I471" i="2"/>
  <c r="G471" i="2"/>
  <c r="F471" i="2"/>
  <c r="E471" i="2"/>
  <c r="H451" i="2"/>
  <c r="C451" i="2"/>
  <c r="B451" i="2"/>
  <c r="J451" i="2"/>
  <c r="I451" i="2"/>
  <c r="G451" i="2"/>
  <c r="F451" i="2"/>
  <c r="E451" i="2"/>
  <c r="D451" i="2"/>
  <c r="F452" i="2"/>
  <c r="B452" i="2"/>
  <c r="J452" i="2"/>
  <c r="I452" i="2"/>
  <c r="H452" i="2"/>
  <c r="G452" i="2"/>
  <c r="E452" i="2"/>
  <c r="D452" i="2"/>
  <c r="C452" i="2"/>
  <c r="F432" i="2"/>
  <c r="J432" i="2"/>
  <c r="I432" i="2"/>
  <c r="H432" i="2"/>
  <c r="G432" i="2"/>
  <c r="E432" i="2"/>
  <c r="D432" i="2"/>
  <c r="C432" i="2"/>
  <c r="B432" i="2"/>
  <c r="J491" i="2"/>
  <c r="B491" i="2"/>
  <c r="I491" i="2"/>
  <c r="H491" i="2"/>
  <c r="G491" i="2"/>
  <c r="F491" i="2"/>
  <c r="E491" i="2"/>
  <c r="D491" i="2"/>
  <c r="C491" i="2"/>
  <c r="C12" i="2" l="1"/>
  <c r="G12" i="2" l="1"/>
  <c r="D12" i="2"/>
  <c r="H12" i="2" l="1"/>
  <c r="B13" i="2" s="1"/>
  <c r="E12" i="2"/>
  <c r="F13" i="2" l="1"/>
  <c r="C13" i="2"/>
  <c r="D13" i="2" s="1"/>
  <c r="G13" i="2" l="1"/>
  <c r="H13" i="2" s="1"/>
  <c r="B14" i="2" s="1"/>
  <c r="E13" i="2"/>
  <c r="I13" i="2"/>
  <c r="F14" i="2" l="1"/>
  <c r="C14" i="2"/>
  <c r="G14" i="2" l="1"/>
  <c r="D14" i="2"/>
  <c r="E14" i="2" s="1"/>
  <c r="I14" i="2"/>
  <c r="H14" i="2" l="1"/>
  <c r="B15" i="2" s="1"/>
  <c r="F15" i="2" l="1"/>
  <c r="I15" i="2" s="1"/>
  <c r="C15" i="2"/>
  <c r="G15" i="2" l="1"/>
  <c r="D15" i="2"/>
  <c r="E15" i="2" s="1"/>
  <c r="H15" i="2" l="1"/>
  <c r="B16" i="2" s="1"/>
  <c r="F16" i="2" l="1"/>
  <c r="I16" i="2" s="1"/>
  <c r="C16" i="2"/>
  <c r="D16" i="2"/>
  <c r="E16" i="2" l="1"/>
  <c r="G16" i="2"/>
  <c r="H16" i="2" s="1"/>
  <c r="B17" i="2" s="1"/>
  <c r="F17" i="2" l="1"/>
  <c r="I17" i="2" s="1"/>
  <c r="C17" i="2"/>
  <c r="D17" i="2"/>
  <c r="G17" i="2" l="1"/>
  <c r="H17" i="2" s="1"/>
  <c r="B18" i="2" s="1"/>
  <c r="E17" i="2"/>
  <c r="F18" i="2" l="1"/>
  <c r="I18" i="2" s="1"/>
  <c r="C18" i="2"/>
  <c r="G18" i="2" l="1"/>
  <c r="D18" i="2"/>
  <c r="E18" i="2" s="1"/>
  <c r="H18" i="2" l="1"/>
  <c r="B19" i="2" s="1"/>
  <c r="F19" i="2" l="1"/>
  <c r="I19" i="2" s="1"/>
  <c r="C19" i="2"/>
  <c r="D19" i="2" s="1"/>
  <c r="E19" i="2" l="1"/>
  <c r="G19" i="2"/>
  <c r="H19" i="2" s="1"/>
  <c r="B20" i="2" s="1"/>
  <c r="F20" i="2" l="1"/>
  <c r="I20" i="2" s="1"/>
  <c r="C20" i="2"/>
  <c r="D20" i="2" s="1"/>
  <c r="G20" i="2" l="1"/>
  <c r="H20" i="2" s="1"/>
  <c r="B21" i="2" s="1"/>
  <c r="E20" i="2"/>
  <c r="F21" i="2" l="1"/>
  <c r="I21" i="2" s="1"/>
  <c r="C21" i="2"/>
  <c r="D21" i="2" s="1"/>
  <c r="E21" i="2" l="1"/>
  <c r="G21" i="2"/>
  <c r="H21" i="2" s="1"/>
  <c r="B22" i="2" s="1"/>
  <c r="F22" i="2" l="1"/>
  <c r="I22" i="2" s="1"/>
  <c r="C22" i="2"/>
  <c r="G22" i="2" l="1"/>
  <c r="D22" i="2"/>
  <c r="E22" i="2" s="1"/>
  <c r="H22" i="2" l="1"/>
  <c r="B23" i="2" s="1"/>
  <c r="F23" i="2" l="1"/>
  <c r="I23" i="2" s="1"/>
  <c r="C23" i="2"/>
  <c r="D23" i="2" s="1"/>
  <c r="E23" i="2" l="1"/>
  <c r="G23" i="2"/>
  <c r="H23" i="2" s="1"/>
  <c r="B24" i="2" s="1"/>
  <c r="F24" i="2" l="1"/>
  <c r="I24" i="2" s="1"/>
  <c r="C24" i="2"/>
  <c r="D24" i="2" s="1"/>
  <c r="E24" i="2" l="1"/>
  <c r="G24" i="2"/>
  <c r="H24" i="2" s="1"/>
  <c r="B25" i="2" s="1"/>
  <c r="C25" i="2" l="1"/>
  <c r="F25" i="2"/>
  <c r="I25" i="2" s="1"/>
  <c r="G25" i="2" l="1"/>
  <c r="D25" i="2"/>
  <c r="E25" i="2" s="1"/>
  <c r="H25" i="2" l="1"/>
  <c r="B26" i="2" s="1"/>
  <c r="F26" i="2" l="1"/>
  <c r="I26" i="2" s="1"/>
  <c r="C26" i="2"/>
  <c r="D26" i="2" s="1"/>
  <c r="E26" i="2" l="1"/>
  <c r="G26" i="2"/>
  <c r="H26" i="2" s="1"/>
  <c r="B27" i="2" s="1"/>
  <c r="F27" i="2" l="1"/>
  <c r="I27" i="2" s="1"/>
  <c r="C27" i="2"/>
  <c r="G27" i="2" l="1"/>
  <c r="D27" i="2"/>
  <c r="E27" i="2" s="1"/>
  <c r="H27" i="2" l="1"/>
  <c r="B28" i="2" s="1"/>
  <c r="C28" i="2" l="1"/>
  <c r="F28" i="2"/>
  <c r="I28" i="2" s="1"/>
  <c r="D28" i="2" l="1"/>
  <c r="E28" i="2" s="1"/>
  <c r="G28" i="2"/>
  <c r="H28" i="2" l="1"/>
  <c r="B29" i="2" s="1"/>
  <c r="F29" i="2"/>
  <c r="I29" i="2" s="1"/>
  <c r="C29" i="2"/>
  <c r="G29" i="2" l="1"/>
  <c r="D29" i="2"/>
  <c r="E29" i="2" s="1"/>
  <c r="H29" i="2" l="1"/>
  <c r="B30" i="2" s="1"/>
  <c r="F30" i="2" l="1"/>
  <c r="I30" i="2" s="1"/>
  <c r="C30" i="2"/>
  <c r="D30" i="2" s="1"/>
  <c r="E30" i="2" l="1"/>
  <c r="G30" i="2"/>
  <c r="H30" i="2" s="1"/>
  <c r="B31" i="2" s="1"/>
  <c r="F31" i="2" l="1"/>
  <c r="I31" i="2" s="1"/>
  <c r="C31" i="2"/>
  <c r="D31" i="2" s="1"/>
  <c r="E31" i="2" l="1"/>
  <c r="G31" i="2"/>
  <c r="H31" i="2" s="1"/>
  <c r="B32" i="2" s="1"/>
  <c r="F32" i="2" l="1"/>
  <c r="I32" i="2" s="1"/>
  <c r="C32" i="2"/>
  <c r="D32" i="2" s="1"/>
  <c r="G32" i="2" l="1"/>
  <c r="H32" i="2" s="1"/>
  <c r="B33" i="2" s="1"/>
  <c r="E32" i="2"/>
  <c r="F33" i="2" l="1"/>
  <c r="I33" i="2" s="1"/>
  <c r="C33" i="2"/>
  <c r="G33" i="2" l="1"/>
  <c r="D33" i="2"/>
  <c r="E33" i="2" s="1"/>
  <c r="H33" i="2" l="1"/>
  <c r="B34" i="2" s="1"/>
  <c r="F34" i="2" l="1"/>
  <c r="I34" i="2" s="1"/>
  <c r="C34" i="2"/>
  <c r="D34" i="2" s="1"/>
  <c r="E34" i="2" l="1"/>
  <c r="G34" i="2"/>
  <c r="H34" i="2" s="1"/>
  <c r="B35" i="2" s="1"/>
  <c r="F35" i="2" l="1"/>
  <c r="I35" i="2" s="1"/>
  <c r="C35" i="2"/>
  <c r="D35" i="2" s="1"/>
  <c r="E35" i="2" l="1"/>
  <c r="G35" i="2"/>
  <c r="H35" i="2" s="1"/>
  <c r="B36" i="2" s="1"/>
  <c r="F36" i="2" l="1"/>
  <c r="I36" i="2" s="1"/>
  <c r="C36" i="2"/>
  <c r="D36" i="2" s="1"/>
  <c r="E36" i="2" l="1"/>
  <c r="G36" i="2"/>
  <c r="H36" i="2" s="1"/>
  <c r="B37" i="2" s="1"/>
  <c r="F37" i="2" l="1"/>
  <c r="I37" i="2" s="1"/>
  <c r="C37" i="2"/>
  <c r="G37" i="2" l="1"/>
  <c r="D37" i="2"/>
  <c r="E37" i="2" s="1"/>
  <c r="H37" i="2" l="1"/>
  <c r="B38" i="2" s="1"/>
  <c r="F38" i="2" l="1"/>
  <c r="I38" i="2" s="1"/>
  <c r="C38" i="2"/>
  <c r="D38" i="2"/>
  <c r="E38" i="2" l="1"/>
  <c r="G38" i="2"/>
  <c r="H38" i="2" s="1"/>
  <c r="B39" i="2" s="1"/>
  <c r="F39" i="2" l="1"/>
  <c r="I39" i="2" s="1"/>
  <c r="C39" i="2"/>
  <c r="D39" i="2" s="1"/>
  <c r="G39" i="2" l="1"/>
  <c r="H39" i="2" s="1"/>
  <c r="B40" i="2" s="1"/>
  <c r="E39" i="2"/>
  <c r="F40" i="2" l="1"/>
  <c r="I40" i="2" s="1"/>
  <c r="C40" i="2"/>
  <c r="G40" i="2" l="1"/>
  <c r="D40" i="2"/>
  <c r="E40" i="2" s="1"/>
  <c r="H40" i="2" l="1"/>
  <c r="B41" i="2" s="1"/>
  <c r="F41" i="2" l="1"/>
  <c r="I41" i="2" s="1"/>
  <c r="C41" i="2"/>
  <c r="D41" i="2" s="1"/>
  <c r="E41" i="2" l="1"/>
  <c r="G41" i="2"/>
  <c r="H41" i="2" s="1"/>
  <c r="B42" i="2" s="1"/>
  <c r="C42" i="2" l="1"/>
  <c r="F42" i="2"/>
  <c r="I42" i="2" s="1"/>
  <c r="D42" i="2" l="1"/>
  <c r="E42" i="2" s="1"/>
  <c r="G42" i="2"/>
  <c r="H42" i="2" l="1"/>
  <c r="B43" i="2" s="1"/>
  <c r="C43" i="2"/>
  <c r="F43" i="2"/>
  <c r="I43" i="2" s="1"/>
  <c r="G43" i="2" l="1"/>
  <c r="D43" i="2"/>
  <c r="E43" i="2" s="1"/>
  <c r="H43" i="2" l="1"/>
  <c r="B44" i="2" s="1"/>
  <c r="C44" i="2" l="1"/>
  <c r="F44" i="2"/>
  <c r="I44" i="2" s="1"/>
  <c r="G44" i="2" l="1"/>
  <c r="D44" i="2"/>
  <c r="E44" i="2" s="1"/>
  <c r="H44" i="2" l="1"/>
  <c r="B45" i="2" s="1"/>
  <c r="C45" i="2" l="1"/>
  <c r="F45" i="2"/>
  <c r="I45" i="2" s="1"/>
  <c r="G45" i="2" l="1"/>
  <c r="D45" i="2"/>
  <c r="E45" i="2" s="1"/>
  <c r="H45" i="2" l="1"/>
  <c r="B46" i="2" s="1"/>
  <c r="C46" i="2" l="1"/>
  <c r="F46" i="2"/>
  <c r="I46" i="2" s="1"/>
  <c r="D46" i="2" l="1"/>
  <c r="E46" i="2" s="1"/>
  <c r="G46" i="2"/>
  <c r="H46" i="2" l="1"/>
  <c r="B47" i="2" s="1"/>
  <c r="F47" i="2"/>
  <c r="I47" i="2" s="1"/>
  <c r="C47" i="2"/>
  <c r="G47" i="2" l="1"/>
  <c r="D47" i="2"/>
  <c r="E47" i="2" s="1"/>
  <c r="H47" i="2" l="1"/>
  <c r="B48" i="2" s="1"/>
  <c r="F48" i="2" l="1"/>
  <c r="I48" i="2" s="1"/>
  <c r="C48" i="2"/>
  <c r="G48" i="2" l="1"/>
  <c r="D48" i="2"/>
  <c r="E48" i="2" s="1"/>
  <c r="H48" i="2" l="1"/>
  <c r="B49" i="2" s="1"/>
  <c r="C49" i="2" l="1"/>
  <c r="F49" i="2"/>
  <c r="I49" i="2" s="1"/>
  <c r="D49" i="2" l="1"/>
  <c r="E49" i="2" s="1"/>
  <c r="G49" i="2"/>
  <c r="H49" i="2" l="1"/>
  <c r="B50" i="2" s="1"/>
  <c r="C50" i="2" s="1"/>
  <c r="F50" i="2"/>
  <c r="I50" i="2" s="1"/>
  <c r="D50" i="2" l="1"/>
  <c r="G50" i="2"/>
  <c r="H50" i="2" s="1"/>
  <c r="B51" i="2" s="1"/>
  <c r="E50" i="2"/>
  <c r="F51" i="2" l="1"/>
  <c r="I51" i="2" s="1"/>
  <c r="C51" i="2"/>
  <c r="G51" i="2" l="1"/>
  <c r="D51" i="2"/>
  <c r="E51" i="2" s="1"/>
  <c r="H51" i="2" l="1"/>
  <c r="B52" i="2" s="1"/>
  <c r="F52" i="2" l="1"/>
  <c r="I52" i="2" s="1"/>
  <c r="C52" i="2"/>
  <c r="D52" i="2" s="1"/>
  <c r="E52" i="2" l="1"/>
  <c r="G52" i="2"/>
  <c r="H52" i="2" s="1"/>
  <c r="B53" i="2" s="1"/>
  <c r="F53" i="2" l="1"/>
  <c r="I53" i="2" s="1"/>
  <c r="C53" i="2"/>
  <c r="D53" i="2" s="1"/>
  <c r="E53" i="2" l="1"/>
  <c r="G53" i="2"/>
  <c r="H53" i="2" s="1"/>
  <c r="B54" i="2" s="1"/>
  <c r="F54" i="2" l="1"/>
  <c r="I54" i="2" s="1"/>
  <c r="C54" i="2"/>
  <c r="G54" i="2" l="1"/>
  <c r="D54" i="2"/>
  <c r="E54" i="2" s="1"/>
  <c r="H54" i="2" l="1"/>
  <c r="B55" i="2" s="1"/>
  <c r="F55" i="2" l="1"/>
  <c r="I55" i="2" s="1"/>
  <c r="C55" i="2"/>
  <c r="G55" i="2" l="1"/>
  <c r="D55" i="2"/>
  <c r="E55" i="2" s="1"/>
  <c r="H55" i="2" l="1"/>
  <c r="B56" i="2" s="1"/>
  <c r="F56" i="2" l="1"/>
  <c r="I56" i="2" s="1"/>
  <c r="C56" i="2"/>
  <c r="D56" i="2" s="1"/>
  <c r="E56" i="2" l="1"/>
  <c r="G56" i="2"/>
  <c r="H56" i="2" s="1"/>
  <c r="B57" i="2" s="1"/>
  <c r="F57" i="2" l="1"/>
  <c r="I57" i="2" s="1"/>
  <c r="C57" i="2"/>
  <c r="G57" i="2" l="1"/>
  <c r="D57" i="2"/>
  <c r="E57" i="2" s="1"/>
  <c r="H57" i="2" l="1"/>
  <c r="B58" i="2" s="1"/>
  <c r="F58" i="2" l="1"/>
  <c r="I58" i="2" s="1"/>
  <c r="C58" i="2"/>
  <c r="D58" i="2" s="1"/>
  <c r="E58" i="2" l="1"/>
  <c r="G58" i="2"/>
  <c r="H58" i="2" s="1"/>
  <c r="B59" i="2" s="1"/>
  <c r="F59" i="2" l="1"/>
  <c r="I59" i="2" s="1"/>
  <c r="C59" i="2"/>
  <c r="D59" i="2" s="1"/>
  <c r="E59" i="2" l="1"/>
  <c r="G59" i="2"/>
  <c r="H59" i="2" s="1"/>
  <c r="B60" i="2" s="1"/>
  <c r="C60" i="2" l="1"/>
  <c r="F60" i="2"/>
  <c r="I60" i="2" s="1"/>
  <c r="G60" i="2" l="1"/>
  <c r="D60" i="2"/>
  <c r="E60" i="2" s="1"/>
  <c r="H60" i="2" l="1"/>
  <c r="B61" i="2" s="1"/>
  <c r="F61" i="2" l="1"/>
  <c r="I61" i="2" s="1"/>
  <c r="C61" i="2"/>
  <c r="D61" i="2"/>
  <c r="E61" i="2" l="1"/>
  <c r="G61" i="2"/>
  <c r="H61" i="2" s="1"/>
  <c r="B62" i="2" s="1"/>
  <c r="F62" i="2" l="1"/>
  <c r="I62" i="2" s="1"/>
  <c r="C62" i="2"/>
  <c r="G62" i="2" l="1"/>
  <c r="D62" i="2"/>
  <c r="E62" i="2" s="1"/>
  <c r="H62" i="2" l="1"/>
  <c r="B63" i="2" s="1"/>
  <c r="F63" i="2" l="1"/>
  <c r="I63" i="2" s="1"/>
  <c r="C63" i="2"/>
  <c r="D63" i="2" s="1"/>
  <c r="E63" i="2" l="1"/>
  <c r="G63" i="2"/>
  <c r="H63" i="2" s="1"/>
  <c r="B64" i="2" s="1"/>
  <c r="F64" i="2" l="1"/>
  <c r="I64" i="2" s="1"/>
  <c r="C64" i="2"/>
  <c r="D64" i="2" s="1"/>
  <c r="E64" i="2" l="1"/>
  <c r="G64" i="2"/>
  <c r="H64" i="2" s="1"/>
  <c r="B65" i="2" s="1"/>
  <c r="F65" i="2" l="1"/>
  <c r="I65" i="2" s="1"/>
  <c r="C65" i="2"/>
  <c r="G65" i="2" l="1"/>
  <c r="D65" i="2"/>
  <c r="E65" i="2" s="1"/>
  <c r="H65" i="2" l="1"/>
  <c r="B66" i="2" s="1"/>
  <c r="F66" i="2" l="1"/>
  <c r="I66" i="2" s="1"/>
  <c r="C66" i="2"/>
  <c r="D66" i="2" s="1"/>
  <c r="E66" i="2" l="1"/>
  <c r="G66" i="2"/>
  <c r="H66" i="2" s="1"/>
  <c r="B67" i="2" s="1"/>
  <c r="C67" i="2" l="1"/>
  <c r="F67" i="2"/>
  <c r="I67" i="2" s="1"/>
  <c r="G67" i="2" l="1"/>
  <c r="D67" i="2"/>
  <c r="E67" i="2" s="1"/>
  <c r="H67" i="2" l="1"/>
  <c r="B68" i="2" s="1"/>
  <c r="F68" i="2" l="1"/>
  <c r="I68" i="2" s="1"/>
  <c r="C68" i="2"/>
  <c r="D68" i="2" s="1"/>
  <c r="E68" i="2" l="1"/>
  <c r="G68" i="2"/>
  <c r="H68" i="2" s="1"/>
  <c r="B69" i="2" s="1"/>
  <c r="F69" i="2" l="1"/>
  <c r="I69" i="2" s="1"/>
  <c r="C69" i="2"/>
  <c r="D69" i="2" s="1"/>
  <c r="E69" i="2" l="1"/>
  <c r="G69" i="2"/>
  <c r="H69" i="2" s="1"/>
  <c r="B70" i="2" s="1"/>
  <c r="F70" i="2" l="1"/>
  <c r="I70" i="2" s="1"/>
  <c r="C70" i="2"/>
  <c r="G70" i="2" l="1"/>
  <c r="D70" i="2"/>
  <c r="E70" i="2" s="1"/>
  <c r="H70" i="2" l="1"/>
  <c r="B71" i="2" s="1"/>
  <c r="F71" i="2" l="1"/>
  <c r="I71" i="2" s="1"/>
  <c r="C71" i="2"/>
  <c r="D71" i="2" s="1"/>
  <c r="G71" i="2" l="1"/>
  <c r="H71" i="2" s="1"/>
  <c r="B72" i="2" s="1"/>
  <c r="E71" i="2"/>
  <c r="F72" i="2" l="1"/>
  <c r="I72" i="2" s="1"/>
  <c r="C72" i="2"/>
  <c r="D72" i="2" s="1"/>
  <c r="E72" i="2" l="1"/>
  <c r="G72" i="2"/>
  <c r="H72" i="2" s="1"/>
  <c r="B73" i="2" s="1"/>
  <c r="C73" i="2" l="1"/>
  <c r="F73" i="2"/>
  <c r="I73" i="2" s="1"/>
  <c r="D73" i="2"/>
  <c r="G73" i="2" l="1"/>
  <c r="H73" i="2" s="1"/>
  <c r="B74" i="2" s="1"/>
  <c r="E73" i="2"/>
  <c r="F74" i="2" l="1"/>
  <c r="I74" i="2" s="1"/>
  <c r="C74" i="2"/>
  <c r="G74" i="2" l="1"/>
  <c r="D74" i="2"/>
  <c r="E74" i="2" s="1"/>
  <c r="H74" i="2" l="1"/>
  <c r="B75" i="2" s="1"/>
  <c r="F75" i="2" l="1"/>
  <c r="I75" i="2" s="1"/>
  <c r="C75" i="2"/>
  <c r="G75" i="2" l="1"/>
  <c r="D75" i="2"/>
  <c r="E75" i="2" s="1"/>
  <c r="H75" i="2" l="1"/>
  <c r="B76" i="2" s="1"/>
  <c r="C76" i="2" l="1"/>
  <c r="F76" i="2"/>
  <c r="I76" i="2" s="1"/>
  <c r="D76" i="2" l="1"/>
  <c r="E76" i="2"/>
  <c r="G76" i="2"/>
  <c r="H76" i="2" s="1"/>
  <c r="B77" i="2" s="1"/>
  <c r="F77" i="2" l="1"/>
  <c r="I77" i="2" s="1"/>
  <c r="C77" i="2"/>
  <c r="D77" i="2" s="1"/>
  <c r="E77" i="2" l="1"/>
  <c r="G77" i="2"/>
  <c r="H77" i="2" s="1"/>
  <c r="B78" i="2" s="1"/>
  <c r="C78" i="2" l="1"/>
  <c r="F78" i="2"/>
  <c r="I78" i="2" s="1"/>
  <c r="D78" i="2"/>
  <c r="E78" i="2" l="1"/>
  <c r="G78" i="2"/>
  <c r="H78" i="2" s="1"/>
  <c r="B79" i="2" s="1"/>
  <c r="C79" i="2" l="1"/>
  <c r="F79" i="2"/>
  <c r="I79" i="2" s="1"/>
  <c r="G79" i="2" l="1"/>
  <c r="D79" i="2"/>
  <c r="E79" i="2" s="1"/>
  <c r="H79" i="2" l="1"/>
  <c r="B80" i="2" s="1"/>
  <c r="F80" i="2" l="1"/>
  <c r="I80" i="2" s="1"/>
  <c r="C80" i="2"/>
  <c r="G80" i="2" l="1"/>
  <c r="D80" i="2"/>
  <c r="E80" i="2" s="1"/>
  <c r="H80" i="2" l="1"/>
  <c r="B81" i="2" s="1"/>
  <c r="F81" i="2" l="1"/>
  <c r="I81" i="2" s="1"/>
  <c r="C81" i="2"/>
  <c r="G81" i="2" l="1"/>
  <c r="D81" i="2"/>
  <c r="E81" i="2" s="1"/>
  <c r="H81" i="2" l="1"/>
  <c r="B82" i="2" s="1"/>
  <c r="F82" i="2" l="1"/>
  <c r="I82" i="2" s="1"/>
  <c r="C82" i="2"/>
  <c r="D82" i="2" s="1"/>
  <c r="E82" i="2" l="1"/>
  <c r="G82" i="2"/>
  <c r="H82" i="2" s="1"/>
  <c r="B83" i="2" s="1"/>
  <c r="C83" i="2" l="1"/>
  <c r="F83" i="2"/>
  <c r="I83" i="2" s="1"/>
  <c r="D83" i="2"/>
  <c r="E83" i="2" l="1"/>
  <c r="G83" i="2"/>
  <c r="H83" i="2" s="1"/>
  <c r="B84" i="2" s="1"/>
  <c r="F84" i="2" l="1"/>
  <c r="I84" i="2" s="1"/>
  <c r="C84" i="2"/>
  <c r="D84" i="2" s="1"/>
  <c r="E84" i="2" l="1"/>
  <c r="G84" i="2"/>
  <c r="H84" i="2" s="1"/>
  <c r="B85" i="2" s="1"/>
  <c r="F85" i="2" l="1"/>
  <c r="I85" i="2" s="1"/>
  <c r="C85" i="2"/>
  <c r="D85" i="2" s="1"/>
  <c r="G85" i="2" l="1"/>
  <c r="H85" i="2" s="1"/>
  <c r="B86" i="2" s="1"/>
  <c r="E85" i="2"/>
  <c r="C86" i="2" l="1"/>
  <c r="F86" i="2"/>
  <c r="I86" i="2" s="1"/>
  <c r="D86" i="2" l="1"/>
  <c r="E86" i="2"/>
  <c r="G86" i="2"/>
  <c r="H86" i="2" s="1"/>
  <c r="B87" i="2" s="1"/>
  <c r="F87" i="2" l="1"/>
  <c r="I87" i="2" s="1"/>
  <c r="C87" i="2"/>
  <c r="D87" i="2" s="1"/>
  <c r="E87" i="2" l="1"/>
  <c r="G87" i="2"/>
  <c r="H87" i="2" s="1"/>
  <c r="B88" i="2" s="1"/>
  <c r="F88" i="2" l="1"/>
  <c r="I88" i="2" s="1"/>
  <c r="C88" i="2"/>
  <c r="G88" i="2" l="1"/>
  <c r="D88" i="2"/>
  <c r="E88" i="2" s="1"/>
  <c r="H88" i="2" l="1"/>
  <c r="B89" i="2" s="1"/>
  <c r="F89" i="2" l="1"/>
  <c r="I89" i="2" s="1"/>
  <c r="C89" i="2"/>
  <c r="D89" i="2" s="1"/>
  <c r="G89" i="2" l="1"/>
  <c r="H89" i="2" s="1"/>
  <c r="B90" i="2" s="1"/>
  <c r="E89" i="2"/>
  <c r="F90" i="2" l="1"/>
  <c r="I90" i="2" s="1"/>
  <c r="C90" i="2"/>
  <c r="D90" i="2" s="1"/>
  <c r="E90" i="2" l="1"/>
  <c r="G90" i="2"/>
  <c r="H90" i="2" s="1"/>
  <c r="B91" i="2" s="1"/>
  <c r="F91" i="2" l="1"/>
  <c r="I91" i="2" s="1"/>
  <c r="C91" i="2"/>
  <c r="D91" i="2" s="1"/>
  <c r="G91" i="2" l="1"/>
  <c r="H91" i="2" s="1"/>
  <c r="B92" i="2" s="1"/>
  <c r="E91" i="2"/>
  <c r="F92" i="2" l="1"/>
  <c r="I92" i="2" s="1"/>
  <c r="C92" i="2"/>
  <c r="D92" i="2" s="1"/>
  <c r="E92" i="2" l="1"/>
  <c r="G92" i="2"/>
  <c r="H92" i="2" s="1"/>
  <c r="B93" i="2" s="1"/>
  <c r="C93" i="2" l="1"/>
  <c r="F93" i="2"/>
  <c r="I93" i="2" s="1"/>
  <c r="G93" i="2" l="1"/>
  <c r="D93" i="2"/>
  <c r="E93" i="2" s="1"/>
  <c r="H93" i="2" l="1"/>
  <c r="B94" i="2" s="1"/>
  <c r="F94" i="2" l="1"/>
  <c r="I94" i="2" s="1"/>
  <c r="C94" i="2"/>
  <c r="G94" i="2" l="1"/>
  <c r="D94" i="2"/>
  <c r="E94" i="2" s="1"/>
  <c r="H94" i="2" l="1"/>
  <c r="B95" i="2" s="1"/>
  <c r="C95" i="2" l="1"/>
  <c r="F95" i="2"/>
  <c r="I95" i="2" s="1"/>
  <c r="D95" i="2" l="1"/>
  <c r="G95" i="2"/>
  <c r="H95" i="2" s="1"/>
  <c r="B96" i="2" s="1"/>
  <c r="E95" i="2"/>
  <c r="F96" i="2" l="1"/>
  <c r="I96" i="2" s="1"/>
  <c r="C96" i="2"/>
  <c r="G96" i="2" l="1"/>
  <c r="D96" i="2"/>
  <c r="E96" i="2" s="1"/>
  <c r="H96" i="2" l="1"/>
  <c r="B97" i="2" s="1"/>
  <c r="F97" i="2" l="1"/>
  <c r="I97" i="2" s="1"/>
  <c r="C97" i="2"/>
  <c r="D97" i="2"/>
  <c r="G97" i="2" l="1"/>
  <c r="H97" i="2" s="1"/>
  <c r="B98" i="2" s="1"/>
  <c r="E97" i="2"/>
  <c r="F98" i="2" l="1"/>
  <c r="I98" i="2" s="1"/>
  <c r="C98" i="2"/>
  <c r="G98" i="2" l="1"/>
  <c r="D98" i="2"/>
  <c r="E98" i="2" s="1"/>
  <c r="H98" i="2" l="1"/>
  <c r="B99" i="2" s="1"/>
  <c r="F99" i="2" l="1"/>
  <c r="I99" i="2" s="1"/>
  <c r="C99" i="2"/>
  <c r="D99" i="2" s="1"/>
  <c r="E99" i="2" l="1"/>
  <c r="G99" i="2"/>
  <c r="H99" i="2" s="1"/>
  <c r="B100" i="2" s="1"/>
  <c r="F100" i="2" l="1"/>
  <c r="I100" i="2" s="1"/>
  <c r="C100" i="2"/>
  <c r="D100" i="2" s="1"/>
  <c r="E100" i="2" l="1"/>
  <c r="G100" i="2"/>
  <c r="H100" i="2" s="1"/>
  <c r="B101" i="2" s="1"/>
  <c r="F101" i="2" l="1"/>
  <c r="I101" i="2" s="1"/>
  <c r="C101" i="2"/>
  <c r="D101" i="2" s="1"/>
  <c r="E101" i="2" l="1"/>
  <c r="G101" i="2"/>
  <c r="H101" i="2" s="1"/>
  <c r="B102" i="2" s="1"/>
  <c r="F102" i="2" l="1"/>
  <c r="I102" i="2" s="1"/>
  <c r="C102" i="2"/>
  <c r="G102" i="2" l="1"/>
  <c r="D102" i="2"/>
  <c r="E102" i="2" s="1"/>
  <c r="H102" i="2" l="1"/>
  <c r="B103" i="2" s="1"/>
  <c r="C103" i="2" l="1"/>
  <c r="F103" i="2"/>
  <c r="I103" i="2" s="1"/>
  <c r="D103" i="2" l="1"/>
  <c r="E103" i="2" s="1"/>
  <c r="G103" i="2"/>
  <c r="H103" i="2" l="1"/>
  <c r="B104" i="2" s="1"/>
  <c r="F104" i="2" s="1"/>
  <c r="I104" i="2" s="1"/>
  <c r="C104" i="2" l="1"/>
  <c r="G104" i="2"/>
  <c r="D104" i="2"/>
  <c r="E104" i="2" s="1"/>
  <c r="H104" i="2" l="1"/>
  <c r="B105" i="2" s="1"/>
  <c r="C105" i="2" l="1"/>
  <c r="F105" i="2"/>
  <c r="I105" i="2" s="1"/>
  <c r="D105" i="2" l="1"/>
  <c r="E105" i="2" s="1"/>
  <c r="G105" i="2"/>
  <c r="H105" i="2" s="1"/>
  <c r="B106" i="2" s="1"/>
  <c r="F106" i="2" l="1"/>
  <c r="I106" i="2" s="1"/>
  <c r="C106" i="2"/>
  <c r="G106" i="2" l="1"/>
  <c r="D106" i="2"/>
  <c r="E106" i="2" s="1"/>
  <c r="H106" i="2" l="1"/>
  <c r="B107" i="2" s="1"/>
  <c r="F107" i="2" l="1"/>
  <c r="I107" i="2" s="1"/>
  <c r="C107" i="2"/>
  <c r="D107" i="2" s="1"/>
  <c r="E107" i="2" l="1"/>
  <c r="G107" i="2"/>
  <c r="H107" i="2" s="1"/>
  <c r="B108" i="2" s="1"/>
  <c r="F108" i="2" l="1"/>
  <c r="I108" i="2" s="1"/>
  <c r="C108" i="2"/>
  <c r="G108" i="2" l="1"/>
  <c r="D108" i="2"/>
  <c r="E108" i="2" s="1"/>
  <c r="H108" i="2" l="1"/>
  <c r="B109" i="2" s="1"/>
  <c r="F109" i="2" l="1"/>
  <c r="I109" i="2" s="1"/>
  <c r="C109" i="2"/>
  <c r="G109" i="2" l="1"/>
  <c r="D109" i="2"/>
  <c r="E109" i="2" s="1"/>
  <c r="H109" i="2" l="1"/>
  <c r="B110" i="2" s="1"/>
  <c r="F110" i="2" l="1"/>
  <c r="I110" i="2" s="1"/>
  <c r="C110" i="2"/>
  <c r="D110" i="2" s="1"/>
  <c r="G110" i="2" l="1"/>
  <c r="H110" i="2" s="1"/>
  <c r="B111" i="2" s="1"/>
  <c r="E110" i="2"/>
  <c r="F111" i="2" l="1"/>
  <c r="I111" i="2" s="1"/>
  <c r="C111" i="2"/>
  <c r="D111" i="2" s="1"/>
  <c r="E111" i="2" l="1"/>
  <c r="G111" i="2"/>
  <c r="H111" i="2" s="1"/>
  <c r="B112" i="2" s="1"/>
  <c r="C112" i="2" l="1"/>
  <c r="F112" i="2"/>
  <c r="I112" i="2" s="1"/>
  <c r="D112" i="2" l="1"/>
  <c r="G112" i="2"/>
  <c r="E112" i="2"/>
  <c r="H112" i="2" l="1"/>
  <c r="B113" i="2" s="1"/>
  <c r="F113" i="2" l="1"/>
  <c r="I113" i="2" s="1"/>
  <c r="C113" i="2"/>
  <c r="D113" i="2" s="1"/>
  <c r="E113" i="2" l="1"/>
  <c r="G113" i="2"/>
  <c r="H113" i="2" s="1"/>
  <c r="B114" i="2" s="1"/>
  <c r="F114" i="2" l="1"/>
  <c r="I114" i="2" s="1"/>
  <c r="C114" i="2"/>
  <c r="D114" i="2" s="1"/>
  <c r="E114" i="2" l="1"/>
  <c r="G114" i="2"/>
  <c r="H114" i="2" s="1"/>
  <c r="B115" i="2" s="1"/>
  <c r="F115" i="2" l="1"/>
  <c r="I115" i="2" s="1"/>
  <c r="C115" i="2"/>
  <c r="G115" i="2" l="1"/>
  <c r="D115" i="2"/>
  <c r="E115" i="2" s="1"/>
  <c r="H115" i="2" l="1"/>
  <c r="B116" i="2" s="1"/>
  <c r="F116" i="2" l="1"/>
  <c r="I116" i="2" s="1"/>
  <c r="C116" i="2"/>
  <c r="G116" i="2" l="1"/>
  <c r="D116" i="2"/>
  <c r="E116" i="2" s="1"/>
  <c r="H116" i="2" l="1"/>
  <c r="B117" i="2" s="1"/>
  <c r="F117" i="2" l="1"/>
  <c r="I117" i="2" s="1"/>
  <c r="C117" i="2"/>
  <c r="D117" i="2" s="1"/>
  <c r="E117" i="2" l="1"/>
  <c r="G117" i="2"/>
  <c r="H117" i="2" s="1"/>
  <c r="B118" i="2" s="1"/>
  <c r="F118" i="2" l="1"/>
  <c r="I118" i="2" s="1"/>
  <c r="C118" i="2"/>
  <c r="D118" i="2" s="1"/>
  <c r="E118" i="2" l="1"/>
  <c r="G118" i="2"/>
  <c r="H118" i="2" s="1"/>
  <c r="B119" i="2" s="1"/>
  <c r="F119" i="2" l="1"/>
  <c r="I119" i="2" s="1"/>
  <c r="C119" i="2"/>
  <c r="D119" i="2" s="1"/>
  <c r="E119" i="2" l="1"/>
  <c r="G119" i="2"/>
  <c r="H119" i="2" s="1"/>
  <c r="B120" i="2" s="1"/>
  <c r="F120" i="2" l="1"/>
  <c r="I120" i="2" s="1"/>
  <c r="C120" i="2"/>
  <c r="D120" i="2" s="1"/>
  <c r="E120" i="2" l="1"/>
  <c r="G120" i="2"/>
  <c r="H120" i="2" s="1"/>
  <c r="B121" i="2" s="1"/>
  <c r="F121" i="2" l="1"/>
  <c r="I121" i="2" s="1"/>
  <c r="C121" i="2"/>
  <c r="D121" i="2" s="1"/>
  <c r="E121" i="2" l="1"/>
  <c r="G121" i="2"/>
  <c r="H121" i="2" s="1"/>
  <c r="B122" i="2" s="1"/>
  <c r="C122" i="2" l="1"/>
  <c r="F122" i="2"/>
  <c r="I122" i="2" s="1"/>
  <c r="G122" i="2" l="1"/>
  <c r="D122" i="2"/>
  <c r="E122" i="2" s="1"/>
  <c r="H122" i="2" l="1"/>
  <c r="B123" i="2" s="1"/>
  <c r="F123" i="2" l="1"/>
  <c r="I123" i="2" s="1"/>
  <c r="C123" i="2"/>
  <c r="D123" i="2"/>
  <c r="E123" i="2" l="1"/>
  <c r="G123" i="2"/>
  <c r="H123" i="2" s="1"/>
  <c r="B124" i="2" s="1"/>
  <c r="F124" i="2" l="1"/>
  <c r="I124" i="2" s="1"/>
  <c r="C124" i="2"/>
  <c r="D124" i="2" s="1"/>
  <c r="E124" i="2" l="1"/>
  <c r="G124" i="2"/>
  <c r="H124" i="2" s="1"/>
  <c r="B125" i="2" s="1"/>
  <c r="C125" i="2" l="1"/>
  <c r="F125" i="2"/>
  <c r="I125" i="2" s="1"/>
  <c r="D125" i="2" l="1"/>
  <c r="E125" i="2" s="1"/>
  <c r="G125" i="2"/>
  <c r="H125" i="2" s="1"/>
  <c r="B126" i="2" s="1"/>
  <c r="F126" i="2" l="1"/>
  <c r="I126" i="2" s="1"/>
  <c r="C126" i="2"/>
  <c r="G126" i="2" l="1"/>
  <c r="D126" i="2"/>
  <c r="E126" i="2" s="1"/>
  <c r="H126" i="2" l="1"/>
  <c r="B127" i="2" s="1"/>
  <c r="C127" i="2" l="1"/>
  <c r="F127" i="2"/>
  <c r="I127" i="2" s="1"/>
  <c r="D127" i="2" l="1"/>
  <c r="G127" i="2"/>
  <c r="H127" i="2" s="1"/>
  <c r="B128" i="2" s="1"/>
  <c r="E127" i="2"/>
  <c r="C128" i="2" l="1"/>
  <c r="F128" i="2"/>
  <c r="I128" i="2" s="1"/>
  <c r="D128" i="2" l="1"/>
  <c r="G128" i="2"/>
  <c r="H128" i="2" s="1"/>
  <c r="B129" i="2" s="1"/>
  <c r="E128" i="2"/>
  <c r="F129" i="2" l="1"/>
  <c r="I129" i="2" s="1"/>
  <c r="C129" i="2"/>
  <c r="G129" i="2" l="1"/>
  <c r="D129" i="2"/>
  <c r="E129" i="2" s="1"/>
  <c r="H129" i="2" l="1"/>
  <c r="B130" i="2" s="1"/>
  <c r="F130" i="2" l="1"/>
  <c r="I130" i="2" s="1"/>
  <c r="C130" i="2"/>
  <c r="D130" i="2" s="1"/>
  <c r="E130" i="2" l="1"/>
  <c r="G130" i="2"/>
  <c r="H130" i="2" s="1"/>
  <c r="B131" i="2" s="1"/>
  <c r="F131" i="2" l="1"/>
  <c r="I131" i="2" s="1"/>
  <c r="C131" i="2"/>
  <c r="G131" i="2" l="1"/>
  <c r="D131" i="2"/>
  <c r="E131" i="2" s="1"/>
  <c r="H131" i="2" l="1"/>
  <c r="B132" i="2" s="1"/>
  <c r="F132" i="2" l="1"/>
  <c r="I132" i="2" s="1"/>
  <c r="C132" i="2"/>
  <c r="D132" i="2" s="1"/>
  <c r="E132" i="2" l="1"/>
  <c r="G132" i="2"/>
  <c r="H132" i="2" s="1"/>
  <c r="B133" i="2" s="1"/>
  <c r="F133" i="2" l="1"/>
  <c r="I133" i="2" s="1"/>
  <c r="C133" i="2"/>
  <c r="G133" i="2" l="1"/>
  <c r="D133" i="2"/>
  <c r="E133" i="2" s="1"/>
  <c r="H133" i="2" l="1"/>
  <c r="B134" i="2" s="1"/>
  <c r="F134" i="2" l="1"/>
  <c r="I134" i="2" s="1"/>
  <c r="C134" i="2"/>
  <c r="G134" i="2" l="1"/>
  <c r="D134" i="2"/>
  <c r="E134" i="2" s="1"/>
  <c r="H134" i="2" l="1"/>
  <c r="B135" i="2" s="1"/>
  <c r="F135" i="2" l="1"/>
  <c r="I135" i="2" s="1"/>
  <c r="C135" i="2"/>
  <c r="D135" i="2" s="1"/>
  <c r="E135" i="2" l="1"/>
  <c r="G135" i="2"/>
  <c r="H135" i="2" s="1"/>
  <c r="B136" i="2" s="1"/>
  <c r="F136" i="2" l="1"/>
  <c r="I136" i="2" s="1"/>
  <c r="C136" i="2"/>
  <c r="D136" i="2" s="1"/>
  <c r="E136" i="2" l="1"/>
  <c r="G136" i="2"/>
  <c r="H136" i="2" s="1"/>
  <c r="B137" i="2" s="1"/>
  <c r="C137" i="2" l="1"/>
  <c r="F137" i="2"/>
  <c r="I137" i="2" s="1"/>
  <c r="D137" i="2" l="1"/>
  <c r="E137" i="2"/>
  <c r="G137" i="2"/>
  <c r="H137" i="2" s="1"/>
  <c r="B138" i="2" s="1"/>
  <c r="F138" i="2" l="1"/>
  <c r="I138" i="2" s="1"/>
  <c r="C138" i="2"/>
  <c r="D138" i="2" s="1"/>
  <c r="E138" i="2" l="1"/>
  <c r="G138" i="2"/>
  <c r="H138" i="2" s="1"/>
  <c r="B139" i="2" s="1"/>
  <c r="F139" i="2" l="1"/>
  <c r="I139" i="2" s="1"/>
  <c r="C139" i="2"/>
  <c r="D139" i="2" s="1"/>
  <c r="G139" i="2" l="1"/>
  <c r="H139" i="2" s="1"/>
  <c r="B140" i="2" s="1"/>
  <c r="E139" i="2"/>
  <c r="F140" i="2" l="1"/>
  <c r="I140" i="2" s="1"/>
  <c r="C140" i="2"/>
  <c r="G140" i="2" l="1"/>
  <c r="D140" i="2"/>
  <c r="E140" i="2" s="1"/>
  <c r="H140" i="2" l="1"/>
  <c r="B141" i="2" s="1"/>
  <c r="F141" i="2" l="1"/>
  <c r="I141" i="2" s="1"/>
  <c r="C141" i="2"/>
  <c r="D141" i="2" s="1"/>
  <c r="E141" i="2" l="1"/>
  <c r="G141" i="2"/>
  <c r="H141" i="2" s="1"/>
  <c r="B142" i="2" s="1"/>
  <c r="F142" i="2" l="1"/>
  <c r="I142" i="2" s="1"/>
  <c r="C142" i="2"/>
  <c r="G142" i="2" l="1"/>
  <c r="D142" i="2"/>
  <c r="E142" i="2" s="1"/>
  <c r="H142" i="2" l="1"/>
  <c r="B143" i="2" s="1"/>
  <c r="F143" i="2" l="1"/>
  <c r="I143" i="2" s="1"/>
  <c r="C143" i="2"/>
  <c r="G143" i="2" l="1"/>
  <c r="D143" i="2"/>
  <c r="E143" i="2" s="1"/>
  <c r="H143" i="2" l="1"/>
  <c r="B144" i="2" s="1"/>
  <c r="F144" i="2" l="1"/>
  <c r="I144" i="2" s="1"/>
  <c r="C144" i="2"/>
  <c r="G144" i="2" l="1"/>
  <c r="D144" i="2"/>
  <c r="E144" i="2" s="1"/>
  <c r="H144" i="2" l="1"/>
  <c r="B145" i="2" s="1"/>
  <c r="F145" i="2" l="1"/>
  <c r="I145" i="2" s="1"/>
  <c r="C145" i="2"/>
  <c r="G145" i="2" l="1"/>
  <c r="D145" i="2"/>
  <c r="E145" i="2" s="1"/>
  <c r="H145" i="2" l="1"/>
  <c r="B146" i="2" s="1"/>
  <c r="F146" i="2" l="1"/>
  <c r="I146" i="2" s="1"/>
  <c r="C146" i="2"/>
  <c r="D146" i="2" s="1"/>
  <c r="E146" i="2" l="1"/>
  <c r="G146" i="2"/>
  <c r="H146" i="2" s="1"/>
  <c r="B147" i="2" s="1"/>
  <c r="F147" i="2" l="1"/>
  <c r="I147" i="2" s="1"/>
  <c r="C147" i="2"/>
  <c r="G147" i="2" l="1"/>
  <c r="D147" i="2"/>
  <c r="E147" i="2" s="1"/>
  <c r="H147" i="2" l="1"/>
  <c r="B148" i="2" s="1"/>
  <c r="F148" i="2" l="1"/>
  <c r="I148" i="2" s="1"/>
  <c r="C148" i="2"/>
  <c r="D148" i="2" s="1"/>
  <c r="E148" i="2" l="1"/>
  <c r="G148" i="2"/>
  <c r="H148" i="2" s="1"/>
  <c r="B149" i="2" s="1"/>
  <c r="F149" i="2" l="1"/>
  <c r="I149" i="2" s="1"/>
  <c r="C149" i="2"/>
  <c r="D149" i="2" s="1"/>
  <c r="E149" i="2" l="1"/>
  <c r="G149" i="2"/>
  <c r="H149" i="2" s="1"/>
  <c r="B150" i="2" s="1"/>
  <c r="F150" i="2" l="1"/>
  <c r="I150" i="2" s="1"/>
  <c r="C150" i="2"/>
  <c r="G150" i="2" l="1"/>
  <c r="D150" i="2"/>
  <c r="E150" i="2" s="1"/>
  <c r="H150" i="2" l="1"/>
  <c r="B151" i="2" s="1"/>
  <c r="F151" i="2" l="1"/>
  <c r="I151" i="2" s="1"/>
  <c r="C151" i="2"/>
  <c r="G151" i="2" l="1"/>
  <c r="D151" i="2"/>
  <c r="E151" i="2" s="1"/>
  <c r="H151" i="2" l="1"/>
  <c r="B152" i="2" s="1"/>
  <c r="F152" i="2" l="1"/>
  <c r="I152" i="2" s="1"/>
  <c r="C152" i="2"/>
  <c r="G152" i="2" l="1"/>
  <c r="D152" i="2"/>
  <c r="E152" i="2" s="1"/>
  <c r="H152" i="2" l="1"/>
  <c r="B153" i="2" s="1"/>
  <c r="F153" i="2" l="1"/>
  <c r="I153" i="2" s="1"/>
  <c r="C153" i="2"/>
  <c r="G153" i="2" l="1"/>
  <c r="D153" i="2"/>
  <c r="E153" i="2" s="1"/>
  <c r="H153" i="2" l="1"/>
  <c r="B154" i="2" s="1"/>
  <c r="F154" i="2" l="1"/>
  <c r="I154" i="2" s="1"/>
  <c r="C154" i="2"/>
  <c r="G154" i="2" l="1"/>
  <c r="D154" i="2"/>
  <c r="E154" i="2" s="1"/>
  <c r="H154" i="2" l="1"/>
  <c r="B155" i="2" s="1"/>
  <c r="F155" i="2" l="1"/>
  <c r="I155" i="2" s="1"/>
  <c r="C155" i="2"/>
  <c r="G155" i="2" l="1"/>
  <c r="D155" i="2"/>
  <c r="E155" i="2" s="1"/>
  <c r="H155" i="2" l="1"/>
  <c r="B156" i="2" s="1"/>
  <c r="F156" i="2" l="1"/>
  <c r="I156" i="2" s="1"/>
  <c r="C156" i="2"/>
  <c r="D156" i="2" s="1"/>
  <c r="E156" i="2" l="1"/>
  <c r="G156" i="2"/>
  <c r="H156" i="2" s="1"/>
  <c r="B157" i="2" s="1"/>
  <c r="F157" i="2" l="1"/>
  <c r="I157" i="2" s="1"/>
  <c r="C157" i="2"/>
  <c r="G157" i="2" l="1"/>
  <c r="D157" i="2"/>
  <c r="E157" i="2" s="1"/>
  <c r="H157" i="2" l="1"/>
  <c r="B158" i="2" s="1"/>
  <c r="F158" i="2" l="1"/>
  <c r="I158" i="2" s="1"/>
  <c r="C158" i="2"/>
  <c r="D158" i="2" s="1"/>
  <c r="E158" i="2" l="1"/>
  <c r="G158" i="2"/>
  <c r="H158" i="2" s="1"/>
  <c r="B159" i="2" s="1"/>
  <c r="F159" i="2" l="1"/>
  <c r="I159" i="2" s="1"/>
  <c r="C159" i="2"/>
  <c r="G159" i="2" l="1"/>
  <c r="D159" i="2"/>
  <c r="E159" i="2" s="1"/>
  <c r="H159" i="2" l="1"/>
  <c r="B160" i="2" s="1"/>
  <c r="F160" i="2" l="1"/>
  <c r="I160" i="2" s="1"/>
  <c r="C160" i="2"/>
  <c r="D160" i="2"/>
  <c r="E160" i="2" l="1"/>
  <c r="G160" i="2"/>
  <c r="H160" i="2" s="1"/>
  <c r="B161" i="2" s="1"/>
  <c r="C161" i="2" l="1"/>
  <c r="F161" i="2"/>
  <c r="I161" i="2" s="1"/>
  <c r="G161" i="2" l="1"/>
  <c r="D161" i="2"/>
  <c r="E161" i="2" s="1"/>
  <c r="H161" i="2" l="1"/>
  <c r="B162" i="2" s="1"/>
  <c r="F162" i="2" l="1"/>
  <c r="I162" i="2" s="1"/>
  <c r="C162" i="2"/>
  <c r="G162" i="2" l="1"/>
  <c r="D162" i="2"/>
  <c r="E162" i="2" s="1"/>
  <c r="H162" i="2" l="1"/>
  <c r="B163" i="2" s="1"/>
  <c r="F163" i="2" l="1"/>
  <c r="I163" i="2" s="1"/>
  <c r="C163" i="2"/>
  <c r="G163" i="2" l="1"/>
  <c r="D163" i="2"/>
  <c r="E163" i="2" s="1"/>
  <c r="H163" i="2" l="1"/>
  <c r="B164" i="2" s="1"/>
  <c r="C164" i="2" l="1"/>
  <c r="F164" i="2"/>
  <c r="I164" i="2" s="1"/>
  <c r="D164" i="2" l="1"/>
  <c r="G164" i="2"/>
  <c r="E164" i="2"/>
  <c r="H164" i="2" l="1"/>
  <c r="B165" i="2" s="1"/>
  <c r="C165" i="2"/>
  <c r="F165" i="2"/>
  <c r="I165" i="2" s="1"/>
  <c r="D165" i="2" l="1"/>
  <c r="E165" i="2" s="1"/>
  <c r="G165" i="2"/>
  <c r="H165" i="2" s="1"/>
  <c r="B166" i="2" s="1"/>
  <c r="F166" i="2" l="1"/>
  <c r="I166" i="2" s="1"/>
  <c r="C166" i="2"/>
  <c r="G166" i="2" l="1"/>
  <c r="D166" i="2"/>
  <c r="E166" i="2" s="1"/>
  <c r="H166" i="2" l="1"/>
  <c r="B167" i="2" s="1"/>
  <c r="F167" i="2" l="1"/>
  <c r="I167" i="2" s="1"/>
  <c r="C167" i="2"/>
  <c r="G167" i="2" l="1"/>
  <c r="D167" i="2"/>
  <c r="E167" i="2" s="1"/>
  <c r="H167" i="2" l="1"/>
  <c r="B168" i="2" s="1"/>
  <c r="F168" i="2" s="1"/>
  <c r="I168" i="2" s="1"/>
  <c r="C168" i="2"/>
  <c r="G168" i="2" l="1"/>
  <c r="D168" i="2"/>
  <c r="E168" i="2" s="1"/>
  <c r="H168" i="2" l="1"/>
  <c r="B169" i="2" s="1"/>
  <c r="F169" i="2"/>
  <c r="I169" i="2" s="1"/>
  <c r="C169" i="2"/>
  <c r="D169" i="2" s="1"/>
  <c r="E169" i="2" l="1"/>
  <c r="G169" i="2"/>
  <c r="H169" i="2" s="1"/>
  <c r="B170" i="2" s="1"/>
  <c r="F170" i="2" l="1"/>
  <c r="I170" i="2" s="1"/>
  <c r="C170" i="2"/>
  <c r="D170" i="2" s="1"/>
  <c r="E170" i="2" l="1"/>
  <c r="G170" i="2"/>
  <c r="H170" i="2" s="1"/>
  <c r="B171" i="2" s="1"/>
  <c r="F171" i="2" l="1"/>
  <c r="I171" i="2" s="1"/>
  <c r="C171" i="2"/>
  <c r="D171" i="2" s="1"/>
  <c r="E171" i="2" l="1"/>
  <c r="G171" i="2"/>
  <c r="H171" i="2" s="1"/>
  <c r="B172" i="2" s="1"/>
  <c r="F172" i="2" l="1"/>
  <c r="I172" i="2" s="1"/>
  <c r="C172" i="2"/>
  <c r="G172" i="2" l="1"/>
  <c r="D172" i="2"/>
  <c r="E172" i="2" s="1"/>
  <c r="H172" i="2" l="1"/>
  <c r="B173" i="2" s="1"/>
  <c r="F173" i="2" l="1"/>
  <c r="I173" i="2" s="1"/>
  <c r="C173" i="2"/>
  <c r="G173" i="2" l="1"/>
  <c r="D173" i="2"/>
  <c r="E173" i="2" s="1"/>
  <c r="H173" i="2" l="1"/>
  <c r="B174" i="2" s="1"/>
  <c r="F174" i="2" l="1"/>
  <c r="I174" i="2" s="1"/>
  <c r="C174" i="2"/>
  <c r="D174" i="2" s="1"/>
  <c r="G174" i="2" l="1"/>
  <c r="H174" i="2" s="1"/>
  <c r="B175" i="2" s="1"/>
  <c r="E174" i="2"/>
  <c r="F175" i="2" l="1"/>
  <c r="I175" i="2" s="1"/>
  <c r="C175" i="2"/>
  <c r="G175" i="2" l="1"/>
  <c r="D175" i="2"/>
  <c r="E175" i="2" s="1"/>
  <c r="H175" i="2" l="1"/>
  <c r="B176" i="2" s="1"/>
  <c r="F176" i="2" l="1"/>
  <c r="I176" i="2" s="1"/>
  <c r="C176" i="2"/>
  <c r="D176" i="2" s="1"/>
  <c r="E176" i="2" l="1"/>
  <c r="G176" i="2"/>
  <c r="H176" i="2" s="1"/>
  <c r="B177" i="2" s="1"/>
  <c r="C177" i="2" l="1"/>
  <c r="F177" i="2"/>
  <c r="I177" i="2" s="1"/>
  <c r="D177" i="2" l="1"/>
  <c r="G177" i="2"/>
  <c r="H177" i="2" s="1"/>
  <c r="B178" i="2" s="1"/>
  <c r="E177" i="2"/>
  <c r="F178" i="2" l="1"/>
  <c r="I178" i="2" s="1"/>
  <c r="C178" i="2"/>
  <c r="G178" i="2" l="1"/>
  <c r="D178" i="2"/>
  <c r="E178" i="2" s="1"/>
  <c r="H178" i="2" l="1"/>
  <c r="B179" i="2" s="1"/>
  <c r="F179" i="2" l="1"/>
  <c r="I179" i="2" s="1"/>
  <c r="C179" i="2"/>
  <c r="D179" i="2" s="1"/>
  <c r="E179" i="2" l="1"/>
  <c r="G179" i="2"/>
  <c r="H179" i="2" s="1"/>
  <c r="B180" i="2" s="1"/>
  <c r="F180" i="2" l="1"/>
  <c r="I180" i="2" s="1"/>
  <c r="C180" i="2"/>
  <c r="G180" i="2" l="1"/>
  <c r="D180" i="2"/>
  <c r="E180" i="2" s="1"/>
  <c r="H180" i="2" l="1"/>
  <c r="B181" i="2" s="1"/>
  <c r="F181" i="2" l="1"/>
  <c r="I181" i="2" s="1"/>
  <c r="C181" i="2"/>
  <c r="G181" i="2" l="1"/>
  <c r="D181" i="2"/>
  <c r="E181" i="2" s="1"/>
  <c r="H181" i="2" l="1"/>
  <c r="B182" i="2" s="1"/>
  <c r="C182" i="2" l="1"/>
  <c r="F182" i="2"/>
  <c r="I182" i="2" s="1"/>
  <c r="D182" i="2" l="1"/>
  <c r="E182" i="2"/>
  <c r="G182" i="2"/>
  <c r="H182" i="2" s="1"/>
  <c r="B183" i="2" s="1"/>
  <c r="C183" i="2" l="1"/>
  <c r="F183" i="2"/>
  <c r="I183" i="2" s="1"/>
  <c r="D183" i="2" l="1"/>
  <c r="G183" i="2"/>
  <c r="H183" i="2" s="1"/>
  <c r="B184" i="2" s="1"/>
  <c r="E183" i="2"/>
  <c r="F184" i="2" l="1"/>
  <c r="I184" i="2" s="1"/>
  <c r="C184" i="2"/>
  <c r="G184" i="2" l="1"/>
  <c r="D184" i="2"/>
  <c r="E184" i="2" s="1"/>
  <c r="H184" i="2" l="1"/>
  <c r="B185" i="2" s="1"/>
  <c r="F185" i="2" l="1"/>
  <c r="I185" i="2" s="1"/>
  <c r="C185" i="2"/>
  <c r="D185" i="2" s="1"/>
  <c r="E185" i="2" l="1"/>
  <c r="G185" i="2"/>
  <c r="H185" i="2" s="1"/>
  <c r="B186" i="2" s="1"/>
  <c r="F186" i="2" l="1"/>
  <c r="I186" i="2" s="1"/>
  <c r="C186" i="2"/>
  <c r="G186" i="2" l="1"/>
  <c r="D186" i="2"/>
  <c r="E186" i="2" s="1"/>
  <c r="H186" i="2" l="1"/>
  <c r="B187" i="2" s="1"/>
  <c r="F187" i="2" l="1"/>
  <c r="I187" i="2" s="1"/>
  <c r="C187" i="2"/>
  <c r="G187" i="2" l="1"/>
  <c r="D187" i="2"/>
  <c r="E187" i="2" s="1"/>
  <c r="H187" i="2" l="1"/>
  <c r="B188" i="2" s="1"/>
  <c r="F188" i="2" l="1"/>
  <c r="I188" i="2" s="1"/>
  <c r="C188" i="2"/>
  <c r="D188" i="2" s="1"/>
  <c r="E188" i="2" l="1"/>
  <c r="G188" i="2"/>
  <c r="H188" i="2" s="1"/>
  <c r="B189" i="2" s="1"/>
  <c r="F189" i="2" l="1"/>
  <c r="I189" i="2" s="1"/>
  <c r="C189" i="2"/>
  <c r="D189" i="2" s="1"/>
  <c r="E189" i="2" l="1"/>
  <c r="G189" i="2"/>
  <c r="H189" i="2" s="1"/>
  <c r="B190" i="2" s="1"/>
  <c r="F190" i="2" l="1"/>
  <c r="I190" i="2" s="1"/>
  <c r="C190" i="2"/>
  <c r="D190" i="2" s="1"/>
  <c r="E190" i="2" l="1"/>
  <c r="G190" i="2"/>
  <c r="H190" i="2" s="1"/>
  <c r="B191" i="2" s="1"/>
  <c r="F191" i="2" l="1"/>
  <c r="I191" i="2" s="1"/>
  <c r="C191" i="2"/>
  <c r="D191" i="2" s="1"/>
  <c r="E191" i="2" l="1"/>
  <c r="G191" i="2"/>
  <c r="H191" i="2" s="1"/>
  <c r="B192" i="2" s="1"/>
  <c r="F192" i="2" l="1"/>
  <c r="I192" i="2" s="1"/>
  <c r="C192" i="2"/>
  <c r="D192" i="2" s="1"/>
  <c r="E192" i="2" l="1"/>
  <c r="G192" i="2"/>
  <c r="H192" i="2" s="1"/>
  <c r="B193" i="2" s="1"/>
  <c r="F193" i="2" l="1"/>
  <c r="I193" i="2" s="1"/>
  <c r="C193" i="2"/>
  <c r="G193" i="2" l="1"/>
  <c r="D193" i="2"/>
  <c r="E193" i="2" s="1"/>
  <c r="H193" i="2" l="1"/>
  <c r="B194" i="2" s="1"/>
  <c r="F194" i="2" l="1"/>
  <c r="I194" i="2" s="1"/>
  <c r="C194" i="2"/>
  <c r="G194" i="2" l="1"/>
  <c r="D194" i="2"/>
  <c r="E194" i="2" s="1"/>
  <c r="H194" i="2" l="1"/>
  <c r="B195" i="2" s="1"/>
  <c r="F195" i="2" l="1"/>
  <c r="I195" i="2" s="1"/>
  <c r="C195" i="2"/>
  <c r="G195" i="2" l="1"/>
  <c r="D195" i="2"/>
  <c r="E195" i="2" s="1"/>
  <c r="H195" i="2" l="1"/>
  <c r="B196" i="2" s="1"/>
  <c r="F196" i="2" l="1"/>
  <c r="I196" i="2" s="1"/>
  <c r="C196" i="2"/>
  <c r="D196" i="2"/>
  <c r="G196" i="2" l="1"/>
  <c r="H196" i="2" s="1"/>
  <c r="B197" i="2" s="1"/>
  <c r="E196" i="2"/>
  <c r="F197" i="2" l="1"/>
  <c r="I197" i="2" s="1"/>
  <c r="C197" i="2"/>
  <c r="G197" i="2" l="1"/>
  <c r="D197" i="2"/>
  <c r="E197" i="2" s="1"/>
  <c r="H197" i="2" l="1"/>
  <c r="B198" i="2" s="1"/>
  <c r="F198" i="2" l="1"/>
  <c r="I198" i="2" s="1"/>
  <c r="C198" i="2"/>
  <c r="G198" i="2" l="1"/>
  <c r="D198" i="2"/>
  <c r="E198" i="2" s="1"/>
  <c r="H198" i="2" l="1"/>
  <c r="B199" i="2" s="1"/>
  <c r="F199" i="2" l="1"/>
  <c r="I199" i="2" s="1"/>
  <c r="C199" i="2"/>
  <c r="D199" i="2" s="1"/>
  <c r="E199" i="2" l="1"/>
  <c r="G199" i="2"/>
  <c r="H199" i="2" s="1"/>
  <c r="B200" i="2" s="1"/>
  <c r="F200" i="2" l="1"/>
  <c r="I200" i="2" s="1"/>
  <c r="C200" i="2"/>
  <c r="G200" i="2" l="1"/>
  <c r="D200" i="2"/>
  <c r="E200" i="2" s="1"/>
  <c r="H200" i="2" l="1"/>
  <c r="B201" i="2" s="1"/>
  <c r="F201" i="2" l="1"/>
  <c r="I201" i="2" s="1"/>
  <c r="C201" i="2"/>
  <c r="D201" i="2"/>
  <c r="G201" i="2" l="1"/>
  <c r="H201" i="2" s="1"/>
  <c r="B202" i="2" s="1"/>
  <c r="E201" i="2"/>
  <c r="F202" i="2" l="1"/>
  <c r="I202" i="2" s="1"/>
  <c r="C202" i="2"/>
  <c r="D202" i="2" s="1"/>
  <c r="G202" i="2" l="1"/>
  <c r="H202" i="2" s="1"/>
  <c r="B203" i="2" s="1"/>
  <c r="E202" i="2"/>
  <c r="F203" i="2" l="1"/>
  <c r="I203" i="2" s="1"/>
  <c r="C203" i="2"/>
  <c r="D203" i="2" s="1"/>
  <c r="G203" i="2" l="1"/>
  <c r="H203" i="2" s="1"/>
  <c r="B204" i="2" s="1"/>
  <c r="E203" i="2"/>
  <c r="F204" i="2" l="1"/>
  <c r="I204" i="2" s="1"/>
  <c r="C204" i="2"/>
  <c r="D204" i="2" s="1"/>
  <c r="E204" i="2" l="1"/>
  <c r="G204" i="2"/>
  <c r="H204" i="2" s="1"/>
  <c r="B205" i="2" s="1"/>
  <c r="F205" i="2" l="1"/>
  <c r="I205" i="2" s="1"/>
  <c r="C205" i="2"/>
  <c r="D205" i="2" s="1"/>
  <c r="G205" i="2" l="1"/>
  <c r="H205" i="2" s="1"/>
  <c r="B206" i="2" s="1"/>
  <c r="E205" i="2"/>
  <c r="F206" i="2" l="1"/>
  <c r="I206" i="2" s="1"/>
  <c r="C206" i="2"/>
  <c r="G206" i="2" l="1"/>
  <c r="D206" i="2"/>
  <c r="E206" i="2" s="1"/>
  <c r="H206" i="2" l="1"/>
  <c r="B207" i="2" s="1"/>
  <c r="F207" i="2" l="1"/>
  <c r="I207" i="2" s="1"/>
  <c r="C207" i="2"/>
  <c r="G207" i="2" l="1"/>
  <c r="D207" i="2"/>
  <c r="E207" i="2" s="1"/>
  <c r="H207" i="2" l="1"/>
  <c r="B208" i="2" s="1"/>
  <c r="C208" i="2" l="1"/>
  <c r="F208" i="2"/>
  <c r="I208" i="2" s="1"/>
  <c r="G208" i="2" l="1"/>
  <c r="D208" i="2"/>
  <c r="E208" i="2" s="1"/>
  <c r="H208" i="2" l="1"/>
  <c r="B209" i="2" s="1"/>
  <c r="F209" i="2" l="1"/>
  <c r="I209" i="2" s="1"/>
  <c r="C209" i="2"/>
  <c r="G209" i="2" l="1"/>
  <c r="D209" i="2"/>
  <c r="E209" i="2" s="1"/>
  <c r="H209" i="2" l="1"/>
  <c r="B210" i="2" s="1"/>
  <c r="F210" i="2" l="1"/>
  <c r="I210" i="2" s="1"/>
  <c r="C210" i="2"/>
  <c r="G210" i="2" l="1"/>
  <c r="D210" i="2"/>
  <c r="E210" i="2" s="1"/>
  <c r="H210" i="2" l="1"/>
  <c r="B211" i="2" s="1"/>
  <c r="F211" i="2" l="1"/>
  <c r="I211" i="2" s="1"/>
  <c r="C211" i="2"/>
  <c r="D211" i="2" s="1"/>
  <c r="E211" i="2" l="1"/>
  <c r="G211" i="2"/>
  <c r="H211" i="2" s="1"/>
  <c r="B212" i="2" s="1"/>
  <c r="F212" i="2" l="1"/>
  <c r="I212" i="2" s="1"/>
  <c r="C212" i="2"/>
  <c r="G212" i="2" l="1"/>
  <c r="D212" i="2"/>
  <c r="E212" i="2" s="1"/>
  <c r="H212" i="2" l="1"/>
  <c r="B213" i="2" s="1"/>
  <c r="F213" i="2" l="1"/>
  <c r="I213" i="2" s="1"/>
  <c r="C213" i="2"/>
  <c r="G213" i="2" l="1"/>
  <c r="D213" i="2"/>
  <c r="E213" i="2" s="1"/>
  <c r="H213" i="2" l="1"/>
  <c r="B214" i="2" s="1"/>
  <c r="C214" i="2" l="1"/>
  <c r="F214" i="2"/>
  <c r="I214" i="2" s="1"/>
  <c r="D214" i="2" l="1"/>
  <c r="E214" i="2" s="1"/>
  <c r="G214" i="2"/>
  <c r="H214" i="2" l="1"/>
  <c r="B215" i="2" s="1"/>
  <c r="C215" i="2"/>
  <c r="F215" i="2"/>
  <c r="I215" i="2" s="1"/>
  <c r="G215" i="2" l="1"/>
  <c r="D215" i="2"/>
  <c r="E215" i="2" s="1"/>
  <c r="H215" i="2" l="1"/>
  <c r="B216" i="2" s="1"/>
  <c r="F216" i="2" l="1"/>
  <c r="I216" i="2" s="1"/>
  <c r="C216" i="2"/>
  <c r="G216" i="2" l="1"/>
  <c r="D216" i="2"/>
  <c r="E216" i="2" s="1"/>
  <c r="H216" i="2" l="1"/>
  <c r="B217" i="2" s="1"/>
  <c r="F217" i="2"/>
  <c r="I217" i="2" s="1"/>
  <c r="C217" i="2"/>
  <c r="D217" i="2" s="1"/>
  <c r="E217" i="2" l="1"/>
  <c r="G217" i="2"/>
  <c r="H217" i="2" s="1"/>
  <c r="B218" i="2" s="1"/>
  <c r="F218" i="2" l="1"/>
  <c r="I218" i="2" s="1"/>
  <c r="C218" i="2"/>
  <c r="G218" i="2" l="1"/>
  <c r="D218" i="2"/>
  <c r="E218" i="2" s="1"/>
  <c r="H218" i="2" l="1"/>
  <c r="B219" i="2" s="1"/>
  <c r="F219" i="2" l="1"/>
  <c r="I219" i="2" s="1"/>
  <c r="C219" i="2"/>
  <c r="G219" i="2" l="1"/>
  <c r="D219" i="2"/>
  <c r="E219" i="2" s="1"/>
  <c r="H219" i="2" l="1"/>
  <c r="B220" i="2" s="1"/>
  <c r="F220" i="2" l="1"/>
  <c r="I220" i="2" s="1"/>
  <c r="C220" i="2"/>
  <c r="D220" i="2" s="1"/>
  <c r="E220" i="2" l="1"/>
  <c r="G220" i="2"/>
  <c r="H220" i="2" s="1"/>
  <c r="B221" i="2" s="1"/>
  <c r="C221" i="2" l="1"/>
  <c r="F221" i="2"/>
  <c r="I221" i="2" s="1"/>
  <c r="D221" i="2" l="1"/>
  <c r="G221" i="2"/>
  <c r="H221" i="2" s="1"/>
  <c r="B222" i="2" s="1"/>
  <c r="E221" i="2"/>
  <c r="F222" i="2" l="1"/>
  <c r="I222" i="2" s="1"/>
  <c r="C222" i="2"/>
  <c r="G222" i="2" l="1"/>
  <c r="D222" i="2"/>
  <c r="E222" i="2" s="1"/>
  <c r="H222" i="2" l="1"/>
  <c r="B223" i="2" s="1"/>
  <c r="F223" i="2" l="1"/>
  <c r="I223" i="2" s="1"/>
  <c r="C223" i="2"/>
  <c r="G223" i="2" l="1"/>
  <c r="D223" i="2"/>
  <c r="E223" i="2" s="1"/>
  <c r="H223" i="2" l="1"/>
  <c r="B224" i="2" s="1"/>
  <c r="C224" i="2" l="1"/>
  <c r="F224" i="2"/>
  <c r="I224" i="2" s="1"/>
  <c r="D224" i="2" l="1"/>
  <c r="G224" i="2"/>
  <c r="H224" i="2" s="1"/>
  <c r="B225" i="2" s="1"/>
  <c r="E224" i="2"/>
  <c r="F225" i="2" l="1"/>
  <c r="I225" i="2" s="1"/>
  <c r="C225" i="2"/>
  <c r="G225" i="2" l="1"/>
  <c r="D225" i="2"/>
  <c r="E225" i="2" s="1"/>
  <c r="H225" i="2" l="1"/>
  <c r="B226" i="2" s="1"/>
  <c r="F226" i="2" l="1"/>
  <c r="I226" i="2" s="1"/>
  <c r="C226" i="2"/>
  <c r="D226" i="2" s="1"/>
  <c r="E226" i="2" l="1"/>
  <c r="G226" i="2"/>
  <c r="H226" i="2" s="1"/>
  <c r="B227" i="2" s="1"/>
  <c r="F227" i="2" l="1"/>
  <c r="I227" i="2" s="1"/>
  <c r="C227" i="2"/>
  <c r="D227" i="2" l="1"/>
  <c r="E227" i="2"/>
  <c r="G227" i="2"/>
  <c r="H227" i="2" s="1"/>
  <c r="B228" i="2" s="1"/>
  <c r="F228" i="2" l="1"/>
  <c r="I228" i="2" s="1"/>
  <c r="C228" i="2"/>
  <c r="G228" i="2" l="1"/>
  <c r="D228" i="2"/>
  <c r="E228" i="2" s="1"/>
  <c r="H228" i="2" l="1"/>
  <c r="B229" i="2" s="1"/>
  <c r="F229" i="2" l="1"/>
  <c r="I229" i="2" s="1"/>
  <c r="C229" i="2"/>
  <c r="D229" i="2" s="1"/>
  <c r="E229" i="2" l="1"/>
  <c r="G229" i="2"/>
  <c r="H229" i="2" s="1"/>
  <c r="B230" i="2" s="1"/>
  <c r="F230" i="2" l="1"/>
  <c r="I230" i="2" s="1"/>
  <c r="C230" i="2"/>
  <c r="G230" i="2" l="1"/>
  <c r="D230" i="2"/>
  <c r="E230" i="2" s="1"/>
  <c r="H230" i="2" l="1"/>
  <c r="B231" i="2" s="1"/>
  <c r="F231" i="2" l="1"/>
  <c r="I231" i="2" s="1"/>
  <c r="C231" i="2"/>
  <c r="G231" i="2" l="1"/>
  <c r="D231" i="2"/>
  <c r="E231" i="2" s="1"/>
  <c r="H231" i="2" l="1"/>
  <c r="B232" i="2" s="1"/>
  <c r="F232" i="2" l="1"/>
  <c r="I232" i="2" s="1"/>
  <c r="C232" i="2"/>
  <c r="G232" i="2" l="1"/>
  <c r="D232" i="2"/>
  <c r="E232" i="2" s="1"/>
  <c r="H232" i="2" l="1"/>
  <c r="B233" i="2" s="1"/>
  <c r="F233" i="2" l="1"/>
  <c r="I233" i="2" s="1"/>
  <c r="C233" i="2"/>
  <c r="G233" i="2" l="1"/>
  <c r="D233" i="2"/>
  <c r="E233" i="2" s="1"/>
  <c r="H233" i="2" l="1"/>
  <c r="B234" i="2" s="1"/>
  <c r="F234" i="2" l="1"/>
  <c r="I234" i="2" s="1"/>
  <c r="C234" i="2"/>
  <c r="G234" i="2" l="1"/>
  <c r="D234" i="2"/>
  <c r="E234" i="2" s="1"/>
  <c r="H234" i="2" l="1"/>
  <c r="B235" i="2" s="1"/>
  <c r="F235" i="2" l="1"/>
  <c r="I235" i="2" s="1"/>
  <c r="C235" i="2"/>
  <c r="D235" i="2" s="1"/>
  <c r="E235" i="2" l="1"/>
  <c r="G235" i="2"/>
  <c r="H235" i="2" s="1"/>
  <c r="B236" i="2" s="1"/>
  <c r="F236" i="2" l="1"/>
  <c r="I236" i="2" s="1"/>
  <c r="C236" i="2"/>
  <c r="D236" i="2" s="1"/>
  <c r="E236" i="2" l="1"/>
  <c r="G236" i="2"/>
  <c r="H236" i="2" s="1"/>
  <c r="B237" i="2" s="1"/>
  <c r="C237" i="2" l="1"/>
  <c r="F237" i="2"/>
  <c r="I237" i="2" s="1"/>
  <c r="G237" i="2" l="1"/>
  <c r="D237" i="2"/>
  <c r="E237" i="2" s="1"/>
  <c r="H237" i="2" l="1"/>
  <c r="B238" i="2" s="1"/>
  <c r="F238" i="2" l="1"/>
  <c r="I238" i="2" s="1"/>
  <c r="C238" i="2"/>
  <c r="G238" i="2" l="1"/>
  <c r="D238" i="2"/>
  <c r="E238" i="2" s="1"/>
  <c r="H238" i="2" l="1"/>
  <c r="B239" i="2" s="1"/>
  <c r="C239" i="2" l="1"/>
  <c r="F239" i="2"/>
  <c r="I239" i="2" s="1"/>
  <c r="D239" i="2" l="1"/>
  <c r="G239" i="2"/>
  <c r="H239" i="2" s="1"/>
  <c r="B240" i="2" s="1"/>
  <c r="E239" i="2"/>
  <c r="F240" i="2" l="1"/>
  <c r="I240" i="2" s="1"/>
  <c r="C240" i="2"/>
  <c r="G240" i="2" l="1"/>
  <c r="D240" i="2"/>
  <c r="E240" i="2" s="1"/>
  <c r="H240" i="2" l="1"/>
  <c r="B241" i="2" s="1"/>
  <c r="F241" i="2" l="1"/>
  <c r="I241" i="2" s="1"/>
  <c r="C241" i="2"/>
  <c r="G241" i="2" l="1"/>
  <c r="D241" i="2"/>
  <c r="E241" i="2" s="1"/>
  <c r="H241" i="2" l="1"/>
  <c r="B242" i="2" s="1"/>
  <c r="F242" i="2" l="1"/>
  <c r="I242" i="2" s="1"/>
  <c r="C242" i="2"/>
  <c r="G242" i="2" l="1"/>
  <c r="D242" i="2"/>
  <c r="E242" i="2" s="1"/>
  <c r="H242" i="2" l="1"/>
  <c r="B243" i="2" s="1"/>
  <c r="F243" i="2" l="1"/>
  <c r="I243" i="2" s="1"/>
  <c r="C243" i="2"/>
  <c r="G243" i="2" l="1"/>
  <c r="D243" i="2"/>
  <c r="E243" i="2" s="1"/>
  <c r="H243" i="2" l="1"/>
  <c r="B244" i="2" s="1"/>
  <c r="F244" i="2" l="1"/>
  <c r="I244" i="2" s="1"/>
  <c r="C244" i="2"/>
  <c r="G244" i="2" l="1"/>
  <c r="D244" i="2"/>
  <c r="E244" i="2" s="1"/>
  <c r="H244" i="2" l="1"/>
  <c r="B245" i="2" s="1"/>
  <c r="F245" i="2" l="1"/>
  <c r="I245" i="2" s="1"/>
  <c r="C245" i="2"/>
  <c r="D245" i="2" s="1"/>
  <c r="E245" i="2" l="1"/>
  <c r="G245" i="2"/>
  <c r="H245" i="2" s="1"/>
  <c r="B246" i="2" s="1"/>
  <c r="F246" i="2" l="1"/>
  <c r="I246" i="2" s="1"/>
  <c r="C246" i="2"/>
  <c r="G246" i="2" l="1"/>
  <c r="D246" i="2"/>
  <c r="E246" i="2" s="1"/>
  <c r="H246" i="2" l="1"/>
  <c r="B247" i="2" s="1"/>
  <c r="C247" i="2" l="1"/>
  <c r="F247" i="2"/>
  <c r="I247" i="2" s="1"/>
  <c r="D247" i="2" l="1"/>
  <c r="E247" i="2" s="1"/>
  <c r="G247" i="2"/>
  <c r="H247" i="2" l="1"/>
  <c r="B248" i="2" s="1"/>
  <c r="F248" i="2"/>
  <c r="I248" i="2" s="1"/>
  <c r="C248" i="2"/>
  <c r="G248" i="2" l="1"/>
  <c r="D248" i="2"/>
  <c r="E248" i="2" s="1"/>
  <c r="H248" i="2" l="1"/>
  <c r="B249" i="2" s="1"/>
  <c r="F249" i="2" l="1"/>
  <c r="I249" i="2" s="1"/>
  <c r="C249" i="2"/>
  <c r="G249" i="2" l="1"/>
  <c r="D249" i="2"/>
  <c r="E249" i="2" s="1"/>
  <c r="H249" i="2" l="1"/>
  <c r="B250" i="2" s="1"/>
  <c r="F250" i="2" l="1"/>
  <c r="I250" i="2" s="1"/>
  <c r="C250" i="2"/>
  <c r="D250" i="2" s="1"/>
  <c r="E250" i="2" l="1"/>
  <c r="G250" i="2"/>
  <c r="H250" i="2" s="1"/>
  <c r="B251" i="2" s="1"/>
  <c r="F251" i="2" l="1"/>
  <c r="I251" i="2" s="1"/>
  <c r="C251" i="2"/>
  <c r="G251" i="2" l="1"/>
  <c r="D251" i="2"/>
  <c r="E251" i="2" s="1"/>
  <c r="H251" i="2" l="1"/>
  <c r="B252" i="2" s="1"/>
  <c r="F252" i="2" l="1"/>
  <c r="I252" i="2" s="1"/>
  <c r="C252" i="2"/>
  <c r="D252" i="2"/>
  <c r="G252" i="2" l="1"/>
  <c r="H252" i="2" s="1"/>
  <c r="B253" i="2" s="1"/>
  <c r="E252" i="2"/>
  <c r="F253" i="2" l="1"/>
  <c r="I253" i="2" s="1"/>
  <c r="C253" i="2"/>
  <c r="G253" i="2" l="1"/>
  <c r="D253" i="2"/>
  <c r="E253" i="2" s="1"/>
  <c r="H253" i="2" l="1"/>
  <c r="B254" i="2" s="1"/>
  <c r="F254" i="2" l="1"/>
  <c r="I254" i="2" s="1"/>
  <c r="C254" i="2"/>
  <c r="D254" i="2" s="1"/>
  <c r="E254" i="2" l="1"/>
  <c r="G254" i="2"/>
  <c r="H254" i="2" s="1"/>
  <c r="B255" i="2" s="1"/>
  <c r="F255" i="2" l="1"/>
  <c r="I255" i="2" s="1"/>
  <c r="C255" i="2"/>
  <c r="G255" i="2" l="1"/>
  <c r="D255" i="2"/>
  <c r="E255" i="2" s="1"/>
  <c r="H255" i="2" l="1"/>
  <c r="B256" i="2" s="1"/>
  <c r="F256" i="2" l="1"/>
  <c r="I256" i="2" s="1"/>
  <c r="C256" i="2"/>
  <c r="G256" i="2" l="1"/>
  <c r="D256" i="2"/>
  <c r="E256" i="2" s="1"/>
  <c r="H256" i="2" l="1"/>
  <c r="B257" i="2" s="1"/>
  <c r="C257" i="2" l="1"/>
  <c r="F257" i="2"/>
  <c r="I257" i="2" s="1"/>
  <c r="D257" i="2" l="1"/>
  <c r="G257" i="2"/>
  <c r="H257" i="2" s="1"/>
  <c r="B258" i="2" s="1"/>
  <c r="E257" i="2"/>
  <c r="F258" i="2" l="1"/>
  <c r="I258" i="2" s="1"/>
  <c r="C258" i="2"/>
  <c r="G258" i="2" l="1"/>
  <c r="D258" i="2"/>
  <c r="E258" i="2" s="1"/>
  <c r="H258" i="2" l="1"/>
  <c r="B259" i="2" s="1"/>
  <c r="F259" i="2" l="1"/>
  <c r="I259" i="2" s="1"/>
  <c r="C259" i="2"/>
  <c r="D259" i="2" s="1"/>
  <c r="G259" i="2" l="1"/>
  <c r="H259" i="2" s="1"/>
  <c r="B260" i="2" s="1"/>
  <c r="E259" i="2"/>
  <c r="F260" i="2" l="1"/>
  <c r="I260" i="2" s="1"/>
  <c r="C260" i="2"/>
  <c r="D260" i="2" s="1"/>
  <c r="G260" i="2" l="1"/>
  <c r="H260" i="2" s="1"/>
  <c r="B261" i="2" s="1"/>
  <c r="E260" i="2"/>
  <c r="C261" i="2" l="1"/>
  <c r="F261" i="2"/>
  <c r="I261" i="2" s="1"/>
  <c r="D261" i="2" l="1"/>
  <c r="G261" i="2"/>
  <c r="H261" i="2" s="1"/>
  <c r="B262" i="2" s="1"/>
  <c r="E261" i="2"/>
  <c r="F262" i="2" l="1"/>
  <c r="I262" i="2" s="1"/>
  <c r="C262" i="2"/>
  <c r="D262" i="2" s="1"/>
  <c r="E262" i="2" l="1"/>
  <c r="G262" i="2"/>
  <c r="H262" i="2" s="1"/>
  <c r="B263" i="2" s="1"/>
  <c r="F263" i="2" l="1"/>
  <c r="I263" i="2" s="1"/>
  <c r="C263" i="2"/>
  <c r="D263" i="2" s="1"/>
  <c r="G263" i="2" l="1"/>
  <c r="H263" i="2" s="1"/>
  <c r="B264" i="2" s="1"/>
  <c r="E263" i="2"/>
  <c r="F264" i="2" l="1"/>
  <c r="I264" i="2" s="1"/>
  <c r="C264" i="2"/>
  <c r="D264" i="2" s="1"/>
  <c r="E264" i="2" l="1"/>
  <c r="G264" i="2"/>
  <c r="H264" i="2" s="1"/>
  <c r="B265" i="2" s="1"/>
  <c r="F265" i="2" l="1"/>
  <c r="I265" i="2" s="1"/>
  <c r="C265" i="2"/>
  <c r="D265" i="2" s="1"/>
  <c r="G265" i="2" l="1"/>
  <c r="H265" i="2" s="1"/>
  <c r="B266" i="2" s="1"/>
  <c r="E265" i="2"/>
  <c r="C266" i="2" l="1"/>
  <c r="F266" i="2"/>
  <c r="I266" i="2" s="1"/>
  <c r="G266" i="2" l="1"/>
  <c r="D266" i="2"/>
  <c r="E266" i="2" s="1"/>
  <c r="H266" i="2" l="1"/>
  <c r="B267" i="2" s="1"/>
  <c r="C267" i="2" l="1"/>
  <c r="F267" i="2"/>
  <c r="I267" i="2" s="1"/>
  <c r="D267" i="2" l="1"/>
  <c r="G267" i="2"/>
  <c r="H267" i="2" s="1"/>
  <c r="B268" i="2" s="1"/>
  <c r="E267" i="2"/>
  <c r="F268" i="2" l="1"/>
  <c r="I268" i="2" s="1"/>
  <c r="C268" i="2"/>
  <c r="G268" i="2" l="1"/>
  <c r="D268" i="2"/>
  <c r="E268" i="2" s="1"/>
  <c r="H268" i="2" l="1"/>
  <c r="B269" i="2" s="1"/>
  <c r="F269" i="2" l="1"/>
  <c r="I269" i="2" s="1"/>
  <c r="C269" i="2"/>
  <c r="G269" i="2" l="1"/>
  <c r="D269" i="2"/>
  <c r="E269" i="2" s="1"/>
  <c r="H269" i="2" l="1"/>
  <c r="B270" i="2" s="1"/>
  <c r="F270" i="2" l="1"/>
  <c r="I270" i="2" s="1"/>
  <c r="C270" i="2"/>
  <c r="G270" i="2" l="1"/>
  <c r="D270" i="2"/>
  <c r="E270" i="2" s="1"/>
  <c r="H270" i="2" l="1"/>
  <c r="B271" i="2" s="1"/>
  <c r="C271" i="2" l="1"/>
  <c r="F271" i="2"/>
  <c r="I271" i="2" s="1"/>
  <c r="D271" i="2" l="1"/>
  <c r="E271" i="2" s="1"/>
  <c r="G271" i="2"/>
  <c r="H271" i="2" s="1"/>
  <c r="B272" i="2" s="1"/>
  <c r="F272" i="2" l="1"/>
  <c r="I272" i="2" s="1"/>
  <c r="C272" i="2"/>
  <c r="D272" i="2" s="1"/>
  <c r="E272" i="2" l="1"/>
  <c r="G272" i="2"/>
  <c r="H272" i="2" s="1"/>
  <c r="B273" i="2" s="1"/>
  <c r="F273" i="2" l="1"/>
  <c r="I273" i="2" s="1"/>
  <c r="C273" i="2"/>
  <c r="D273" i="2" s="1"/>
  <c r="E273" i="2" l="1"/>
  <c r="G273" i="2"/>
  <c r="H273" i="2" s="1"/>
  <c r="B274" i="2" s="1"/>
  <c r="F274" i="2" l="1"/>
  <c r="I274" i="2" s="1"/>
  <c r="C274" i="2"/>
  <c r="G274" i="2" l="1"/>
  <c r="D274" i="2"/>
  <c r="E274" i="2" s="1"/>
  <c r="H274" i="2" l="1"/>
  <c r="B275" i="2" s="1"/>
  <c r="F275" i="2" l="1"/>
  <c r="I275" i="2" s="1"/>
  <c r="C275" i="2"/>
  <c r="G275" i="2" l="1"/>
  <c r="D275" i="2"/>
  <c r="E275" i="2" s="1"/>
  <c r="H275" i="2" l="1"/>
  <c r="B276" i="2" s="1"/>
  <c r="C276" i="2" l="1"/>
  <c r="F276" i="2"/>
  <c r="I276" i="2" s="1"/>
  <c r="D276" i="2" l="1"/>
  <c r="E276" i="2" s="1"/>
  <c r="G276" i="2"/>
  <c r="H276" i="2" s="1"/>
  <c r="B277" i="2" s="1"/>
  <c r="F277" i="2" l="1"/>
  <c r="I277" i="2" s="1"/>
  <c r="C277" i="2"/>
  <c r="G277" i="2" l="1"/>
  <c r="D277" i="2"/>
  <c r="E277" i="2" s="1"/>
  <c r="H277" i="2" l="1"/>
  <c r="B278" i="2" s="1"/>
  <c r="F278" i="2" l="1"/>
  <c r="I278" i="2" s="1"/>
  <c r="C278" i="2"/>
  <c r="D278" i="2" s="1"/>
  <c r="E278" i="2" l="1"/>
  <c r="G278" i="2"/>
  <c r="H278" i="2" s="1"/>
  <c r="B279" i="2" s="1"/>
  <c r="F279" i="2" l="1"/>
  <c r="I279" i="2" s="1"/>
  <c r="C279" i="2"/>
  <c r="D279" i="2" s="1"/>
  <c r="E279" i="2" l="1"/>
  <c r="G279" i="2"/>
  <c r="H279" i="2" s="1"/>
  <c r="B280" i="2" s="1"/>
  <c r="F280" i="2" l="1"/>
  <c r="I280" i="2" s="1"/>
  <c r="C280" i="2"/>
  <c r="G280" i="2" l="1"/>
  <c r="D280" i="2"/>
  <c r="E280" i="2" s="1"/>
  <c r="H280" i="2" l="1"/>
  <c r="B281" i="2" s="1"/>
  <c r="F281" i="2" l="1"/>
  <c r="I281" i="2" s="1"/>
  <c r="C281" i="2"/>
  <c r="G281" i="2" l="1"/>
  <c r="D281" i="2"/>
  <c r="E281" i="2" s="1"/>
  <c r="H281" i="2" l="1"/>
  <c r="B282" i="2" s="1"/>
  <c r="F282" i="2" l="1"/>
  <c r="I282" i="2" s="1"/>
  <c r="C282" i="2"/>
  <c r="G282" i="2" l="1"/>
  <c r="D282" i="2"/>
  <c r="E282" i="2" s="1"/>
  <c r="H282" i="2" l="1"/>
  <c r="B283" i="2" s="1"/>
  <c r="F283" i="2" l="1"/>
  <c r="I283" i="2" s="1"/>
  <c r="C283" i="2"/>
  <c r="G283" i="2" l="1"/>
  <c r="D283" i="2"/>
  <c r="E283" i="2" s="1"/>
  <c r="H283" i="2" l="1"/>
  <c r="B284" i="2" s="1"/>
  <c r="F284" i="2" l="1"/>
  <c r="I284" i="2" s="1"/>
  <c r="C284" i="2"/>
  <c r="D284" i="2" s="1"/>
  <c r="G284" i="2" l="1"/>
  <c r="H284" i="2" s="1"/>
  <c r="B285" i="2" s="1"/>
  <c r="E284" i="2"/>
  <c r="F285" i="2" l="1"/>
  <c r="I285" i="2" s="1"/>
  <c r="C285" i="2"/>
  <c r="D285" i="2" s="1"/>
  <c r="E285" i="2" l="1"/>
  <c r="G285" i="2"/>
  <c r="H285" i="2" s="1"/>
  <c r="B286" i="2" s="1"/>
  <c r="F286" i="2" l="1"/>
  <c r="I286" i="2" s="1"/>
  <c r="C286" i="2"/>
  <c r="G286" i="2" l="1"/>
  <c r="D286" i="2"/>
  <c r="E286" i="2" s="1"/>
  <c r="H286" i="2" l="1"/>
  <c r="B287" i="2" s="1"/>
  <c r="C287" i="2" l="1"/>
  <c r="F287" i="2"/>
  <c r="I287" i="2" s="1"/>
  <c r="D287" i="2" l="1"/>
  <c r="G287" i="2"/>
  <c r="H287" i="2" s="1"/>
  <c r="B288" i="2" s="1"/>
  <c r="E287" i="2"/>
  <c r="F288" i="2" l="1"/>
  <c r="I288" i="2" s="1"/>
  <c r="C288" i="2"/>
  <c r="G288" i="2" l="1"/>
  <c r="D288" i="2"/>
  <c r="E288" i="2" s="1"/>
  <c r="H288" i="2" l="1"/>
  <c r="B289" i="2" s="1"/>
  <c r="F289" i="2" l="1"/>
  <c r="I289" i="2" s="1"/>
  <c r="C289" i="2"/>
  <c r="D289" i="2"/>
  <c r="G289" i="2" l="1"/>
  <c r="H289" i="2" s="1"/>
  <c r="B290" i="2" s="1"/>
  <c r="E289" i="2"/>
  <c r="F290" i="2" l="1"/>
  <c r="I290" i="2" s="1"/>
  <c r="C290" i="2"/>
  <c r="D290" i="2" s="1"/>
  <c r="E290" i="2" l="1"/>
  <c r="G290" i="2"/>
  <c r="H290" i="2" s="1"/>
  <c r="B291" i="2" s="1"/>
  <c r="F291" i="2" l="1"/>
  <c r="I291" i="2" s="1"/>
  <c r="C291" i="2"/>
  <c r="D291" i="2" s="1"/>
  <c r="E291" i="2" l="1"/>
  <c r="G291" i="2"/>
  <c r="H291" i="2" s="1"/>
  <c r="B292" i="2" s="1"/>
  <c r="F292" i="2" l="1"/>
  <c r="I292" i="2" s="1"/>
  <c r="C292" i="2"/>
  <c r="D292" i="2" s="1"/>
  <c r="E292" i="2" l="1"/>
  <c r="G292" i="2"/>
  <c r="H292" i="2" s="1"/>
  <c r="B293" i="2" s="1"/>
  <c r="F293" i="2" l="1"/>
  <c r="I293" i="2" s="1"/>
  <c r="C293" i="2"/>
  <c r="D293" i="2" s="1"/>
  <c r="E293" i="2" l="1"/>
  <c r="G293" i="2"/>
  <c r="H293" i="2" s="1"/>
  <c r="B294" i="2" s="1"/>
  <c r="F294" i="2" l="1"/>
  <c r="I294" i="2" s="1"/>
  <c r="C294" i="2"/>
  <c r="D294" i="2"/>
  <c r="E294" i="2" l="1"/>
  <c r="G294" i="2"/>
  <c r="H294" i="2" s="1"/>
  <c r="B295" i="2" s="1"/>
  <c r="F295" i="2" l="1"/>
  <c r="I295" i="2" s="1"/>
  <c r="C295" i="2"/>
  <c r="G295" i="2" l="1"/>
  <c r="D295" i="2"/>
  <c r="E295" i="2" s="1"/>
  <c r="H295" i="2" l="1"/>
  <c r="B296" i="2" s="1"/>
  <c r="F296" i="2" l="1"/>
  <c r="I296" i="2" s="1"/>
  <c r="C296" i="2"/>
  <c r="D296" i="2" s="1"/>
  <c r="E296" i="2" l="1"/>
  <c r="G296" i="2"/>
  <c r="H296" i="2" s="1"/>
  <c r="B297" i="2" s="1"/>
  <c r="C297" i="2" l="1"/>
  <c r="F297" i="2"/>
  <c r="I297" i="2" s="1"/>
  <c r="D297" i="2" l="1"/>
  <c r="E297" i="2" s="1"/>
  <c r="G297" i="2"/>
  <c r="H297" i="2" s="1"/>
  <c r="B298" i="2" s="1"/>
  <c r="C298" i="2" l="1"/>
  <c r="F298" i="2"/>
  <c r="I298" i="2" s="1"/>
  <c r="D298" i="2" l="1"/>
  <c r="G298" i="2"/>
  <c r="H298" i="2" s="1"/>
  <c r="B299" i="2" s="1"/>
  <c r="E298" i="2"/>
  <c r="F299" i="2" l="1"/>
  <c r="I299" i="2" s="1"/>
  <c r="C299" i="2"/>
  <c r="D299" i="2" s="1"/>
  <c r="E299" i="2" l="1"/>
  <c r="G299" i="2"/>
  <c r="H299" i="2" s="1"/>
  <c r="B300" i="2" s="1"/>
  <c r="F300" i="2" l="1"/>
  <c r="I300" i="2" s="1"/>
  <c r="C300" i="2"/>
  <c r="G300" i="2" l="1"/>
  <c r="D300" i="2"/>
  <c r="E300" i="2" s="1"/>
  <c r="H300" i="2" l="1"/>
  <c r="B301" i="2" s="1"/>
  <c r="C301" i="2" l="1"/>
  <c r="F301" i="2"/>
  <c r="I301" i="2" s="1"/>
  <c r="G301" i="2" l="1"/>
  <c r="D301" i="2"/>
  <c r="E301" i="2" s="1"/>
  <c r="H301" i="2" l="1"/>
  <c r="B302" i="2" s="1"/>
  <c r="F302" i="2" l="1"/>
  <c r="I302" i="2" s="1"/>
  <c r="C302" i="2"/>
  <c r="D302" i="2" l="1"/>
  <c r="E302" i="2" s="1"/>
  <c r="G302" i="2"/>
  <c r="H302" i="2" s="1"/>
  <c r="B303" i="2" s="1"/>
  <c r="C303" i="2" l="1"/>
  <c r="F303" i="2"/>
  <c r="I303" i="2" s="1"/>
  <c r="G303" i="2" l="1"/>
  <c r="D303" i="2"/>
  <c r="E303" i="2" s="1"/>
  <c r="H303" i="2" l="1"/>
  <c r="B304" i="2" s="1"/>
  <c r="F304" i="2" l="1"/>
  <c r="I304" i="2" s="1"/>
  <c r="C304" i="2"/>
  <c r="G304" i="2" l="1"/>
  <c r="D304" i="2"/>
  <c r="E304" i="2" s="1"/>
  <c r="H304" i="2" l="1"/>
  <c r="B305" i="2" s="1"/>
  <c r="F305" i="2" l="1"/>
  <c r="I305" i="2" s="1"/>
  <c r="C305" i="2"/>
  <c r="D305" i="2" s="1"/>
  <c r="G305" i="2" l="1"/>
  <c r="H305" i="2" s="1"/>
  <c r="B306" i="2" s="1"/>
  <c r="E305" i="2"/>
  <c r="F306" i="2" l="1"/>
  <c r="I306" i="2" s="1"/>
  <c r="C306" i="2"/>
  <c r="D306" i="2" s="1"/>
  <c r="E306" i="2" l="1"/>
  <c r="G306" i="2"/>
  <c r="H306" i="2" s="1"/>
  <c r="B307" i="2" s="1"/>
  <c r="F307" i="2" l="1"/>
  <c r="I307" i="2" s="1"/>
  <c r="C307" i="2"/>
  <c r="G307" i="2" l="1"/>
  <c r="D307" i="2"/>
  <c r="E307" i="2" s="1"/>
  <c r="H307" i="2" l="1"/>
  <c r="B308" i="2" s="1"/>
  <c r="F308" i="2" l="1"/>
  <c r="I308" i="2" s="1"/>
  <c r="C308" i="2"/>
  <c r="D308" i="2" s="1"/>
  <c r="E308" i="2" l="1"/>
  <c r="G308" i="2"/>
  <c r="H308" i="2" s="1"/>
  <c r="B309" i="2" s="1"/>
  <c r="C309" i="2" l="1"/>
  <c r="F309" i="2"/>
  <c r="I309" i="2" s="1"/>
  <c r="D309" i="2" l="1"/>
  <c r="G309" i="2"/>
  <c r="H309" i="2" s="1"/>
  <c r="B310" i="2" s="1"/>
  <c r="E309" i="2"/>
  <c r="F310" i="2" l="1"/>
  <c r="I310" i="2" s="1"/>
  <c r="C310" i="2"/>
  <c r="D310" i="2" s="1"/>
  <c r="E310" i="2" l="1"/>
  <c r="G310" i="2"/>
  <c r="H310" i="2" s="1"/>
  <c r="B311" i="2" s="1"/>
  <c r="F311" i="2" l="1"/>
  <c r="C311" i="2"/>
  <c r="J3" i="2" s="1"/>
  <c r="C27" i="1" s="1"/>
  <c r="D311" i="2" l="1"/>
  <c r="J5" i="2" s="1"/>
  <c r="C29" i="1" s="1"/>
  <c r="G311" i="2"/>
  <c r="H311" i="2" s="1"/>
  <c r="J6" i="2"/>
  <c r="C30" i="1" s="1"/>
  <c r="I311" i="2"/>
  <c r="E311" i="2" l="1"/>
  <c r="J4" i="2"/>
  <c r="C28" i="1" s="1"/>
  <c r="J7" i="2"/>
  <c r="C31" i="1" s="1"/>
</calcChain>
</file>

<file path=xl/sharedStrings.xml><?xml version="1.0" encoding="utf-8"?>
<sst xmlns="http://schemas.openxmlformats.org/spreadsheetml/2006/main" count="72" uniqueCount="71">
  <si>
    <t>COMMERCIAL LOAN CALCULATOR</t>
  </si>
  <si>
    <t>LOAN INPUTS</t>
  </si>
  <si>
    <t>Loan Amount</t>
  </si>
  <si>
    <t>Annual Interest Rate</t>
  </si>
  <si>
    <t>Loan Term (Years)</t>
  </si>
  <si>
    <t>Interest Only Period (Months)</t>
  </si>
  <si>
    <t>0 = no interest-only period</t>
  </si>
  <si>
    <t>Extra Payment (per period)</t>
  </si>
  <si>
    <t>Additional principal payment</t>
  </si>
  <si>
    <t>Extra Payment Start Period</t>
  </si>
  <si>
    <t>Period # when extra payments begin</t>
  </si>
  <si>
    <t>Payment Frequency</t>
  </si>
  <si>
    <t>Monthly</t>
  </si>
  <si>
    <t>Compound Frequency</t>
  </si>
  <si>
    <t>Payment Type</t>
  </si>
  <si>
    <t>End of Period</t>
  </si>
  <si>
    <t>End = ordinary annuity</t>
  </si>
  <si>
    <t>CALCULATED PARAMETERS</t>
  </si>
  <si>
    <t>Payments Per Year</t>
  </si>
  <si>
    <t>Compounds Per Year</t>
  </si>
  <si>
    <t>Effective Periodic Rate</t>
  </si>
  <si>
    <t>Total Payment Periods</t>
  </si>
  <si>
    <t>Interest Only Periods (in pmts)</t>
  </si>
  <si>
    <t>P&amp;I Payment Periods</t>
  </si>
  <si>
    <t>P&amp;I Payment (per period)</t>
  </si>
  <si>
    <t>Interest Only Payment (per period)</t>
  </si>
  <si>
    <t>RESULTS SUMMARY</t>
  </si>
  <si>
    <t>Regular P&amp;I Payment</t>
  </si>
  <si>
    <t>Interest Only Payment</t>
  </si>
  <si>
    <t>Total Interest Only Payments</t>
  </si>
  <si>
    <t>Total P&amp;I Payments</t>
  </si>
  <si>
    <t>Total Extra Payments</t>
  </si>
  <si>
    <t>Total Interest Paid</t>
  </si>
  <si>
    <t>Total Amount Paid</t>
  </si>
  <si>
    <t>Effective Annual Rate (EAR)</t>
  </si>
  <si>
    <t>HOW TO USE</t>
  </si>
  <si>
    <t>1. Enter loan details in the LOAN INPUTS section (blue cells).</t>
  </si>
  <si>
    <t>2. Select Payment Frequency, Compound Frequency, and Payment Type from dropdowns.</t>
  </si>
  <si>
    <t>3. Set Interest Only Period (months) if applicable — 0 means standard P&amp;I from day 1.</t>
  </si>
  <si>
    <t>4. Enter Extra Payment amount and the period it begins (leave at $0 to ignore).</t>
  </si>
  <si>
    <t>5. Review CALCULATED PARAMETERS and RESULTS SUMMARY for key metrics.</t>
  </si>
  <si>
    <t>6. See the Amortization Schedule sheet for a full period-by-period breakdown.</t>
  </si>
  <si>
    <t>Color key:  Blue = Input cells you should change  |  Black = Formulas (do not edit)  |  Green = Cross-sheet links</t>
  </si>
  <si>
    <t>AMORTIZATION SCHEDULE</t>
  </si>
  <si>
    <t>Total IO Payments:</t>
  </si>
  <si>
    <t>Total P&amp;I Payments:</t>
  </si>
  <si>
    <t>Total Extra Payments:</t>
  </si>
  <si>
    <t>Total Interest Paid:</t>
  </si>
  <si>
    <t>Total Amount Paid:</t>
  </si>
  <si>
    <t>Period</t>
  </si>
  <si>
    <t>Beginning
Balance</t>
  </si>
  <si>
    <t>Scheduled
Payment</t>
  </si>
  <si>
    <t>Extra
Payment</t>
  </si>
  <si>
    <t>Total
Payment</t>
  </si>
  <si>
    <t>Interest</t>
  </si>
  <si>
    <t>Principal</t>
  </si>
  <si>
    <t>Ending
Balance</t>
  </si>
  <si>
    <t>Cumulative
Interest</t>
  </si>
  <si>
    <t>Period
Type</t>
  </si>
  <si>
    <t>Useful Links</t>
  </si>
  <si>
    <t>View your amortization schedule in the Amortization Schedule Sheet</t>
  </si>
  <si>
    <t>Commercial Loan Calculator</t>
  </si>
  <si>
    <t>LTV Calculator</t>
  </si>
  <si>
    <t>Refinance Calculator</t>
  </si>
  <si>
    <t>DSCR Calculator</t>
  </si>
  <si>
    <t>Debt Yield Calculator</t>
  </si>
  <si>
    <t>NOI Calculator</t>
  </si>
  <si>
    <t>Cap Rate Calculator</t>
  </si>
  <si>
    <t>Yield Maintenance Prepayment Penalty Calculator</t>
  </si>
  <si>
    <t>Current Commercial Loan Rates</t>
  </si>
  <si>
    <t>Apply for a Commercial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</si>
</sst>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00%;\(0.000%\);\-"/>
    <numFmt numFmtId="166" formatCode="0;\(0\);\-"/>
    <numFmt numFmtId="167" formatCode="0.00000%;\(0.00000%\);\-"/>
    <numFmt numFmtId="168" formatCode="\$#,##0.00;&quot;($&quot;#,##0.00\);\-"/>
  </numFmts>
  <fonts count="12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charset val="1"/>
    </font>
    <font>
      <sz val="11"/>
      <color rgb="FF0000FF"/>
      <name val="Arial"/>
      <charset val="1"/>
    </font>
    <font>
      <i/>
      <sz val="9"/>
      <color rgb="FF808080"/>
      <name val="Arial"/>
      <charset val="1"/>
    </font>
    <font>
      <b/>
      <sz val="11"/>
      <color rgb="FF000000"/>
      <name val="Arial"/>
      <charset val="1"/>
    </font>
    <font>
      <sz val="11"/>
      <color rgb="FF008000"/>
      <name val="Arial"/>
      <charset val="1"/>
    </font>
    <font>
      <sz val="9"/>
      <color rgb="FF444444"/>
      <name val="Arial"/>
      <charset val="1"/>
    </font>
    <font>
      <b/>
      <sz val="14"/>
      <color rgb="FFFFFFFF"/>
      <name val="Arial"/>
      <charset val="1"/>
    </font>
    <font>
      <b/>
      <sz val="11"/>
      <name val="Arial"/>
      <charset val="1"/>
    </font>
    <font>
      <u/>
      <sz val="11"/>
      <color theme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BF3FB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00B050"/>
        <bgColor rgb="FF003366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165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indent="1"/>
    </xf>
    <xf numFmtId="166" fontId="3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67" fontId="3" fillId="4" borderId="1" xfId="0" applyNumberFormat="1" applyFont="1" applyFill="1" applyBorder="1" applyAlignment="1">
      <alignment horizontal="right" vertical="center"/>
    </xf>
    <xf numFmtId="168" fontId="3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indent="1"/>
    </xf>
    <xf numFmtId="168" fontId="7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165" fontId="7" fillId="5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right" vertical="center"/>
    </xf>
    <xf numFmtId="166" fontId="3" fillId="7" borderId="1" xfId="0" applyNumberFormat="1" applyFont="1" applyFill="1" applyBorder="1" applyAlignment="1">
      <alignment horizontal="center" vertical="center"/>
    </xf>
    <xf numFmtId="168" fontId="3" fillId="7" borderId="1" xfId="0" applyNumberFormat="1" applyFont="1" applyFill="1" applyBorder="1" applyAlignment="1">
      <alignment horizontal="right" vertical="center"/>
    </xf>
    <xf numFmtId="49" fontId="3" fillId="7" borderId="1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ercialloandirect.com/cap-rate-calculator" TargetMode="External"/><Relationship Id="rId3" Type="http://schemas.openxmlformats.org/officeDocument/2006/relationships/hyperlink" Target="https://commercialloandirect.com/Mortgage-Refinancing-Calculator" TargetMode="External"/><Relationship Id="rId7" Type="http://schemas.openxmlformats.org/officeDocument/2006/relationships/hyperlink" Target="https://commercialloandirect.com/yield-maintenance-prepayment-penalty-calculator" TargetMode="External"/><Relationship Id="rId2" Type="http://schemas.openxmlformats.org/officeDocument/2006/relationships/hyperlink" Target="https://commercialloandirect.com/ltv-calculator" TargetMode="External"/><Relationship Id="rId1" Type="http://schemas.openxmlformats.org/officeDocument/2006/relationships/hyperlink" Target="https://commercialloandirect.com/monthly-payment-calculator" TargetMode="External"/><Relationship Id="rId6" Type="http://schemas.openxmlformats.org/officeDocument/2006/relationships/hyperlink" Target="https://commercialloandirect.com/commercial-rat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mmercialloandirect.com/application-commercial-loan-je?from=sheet" TargetMode="External"/><Relationship Id="rId10" Type="http://schemas.openxmlformats.org/officeDocument/2006/relationships/hyperlink" Target="https://commercialloandirect.com/debt-yield-ratio-calculator" TargetMode="External"/><Relationship Id="rId4" Type="http://schemas.openxmlformats.org/officeDocument/2006/relationships/hyperlink" Target="https://commercialloandirect.com/debt-service-coverage-ratio-calculator" TargetMode="External"/><Relationship Id="rId9" Type="http://schemas.openxmlformats.org/officeDocument/2006/relationships/hyperlink" Target="https://commercialloandirect.com/noi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ColWidth="8.7109375" defaultRowHeight="15" customHeight="1" x14ac:dyDescent="0.25"/>
  <cols>
    <col min="1" max="1" width="2" customWidth="1"/>
    <col min="2" max="2" width="30" customWidth="1"/>
    <col min="3" max="3" width="22" customWidth="1"/>
    <col min="4" max="4" width="31.7109375" customWidth="1"/>
    <col min="5" max="5" width="7" hidden="1" customWidth="1"/>
    <col min="6" max="6" width="18.42578125" customWidth="1"/>
    <col min="7" max="7" width="2.140625" hidden="1" customWidth="1"/>
    <col min="8" max="8" width="0.5703125" hidden="1" customWidth="1"/>
    <col min="9" max="9" width="8.7109375" hidden="1" customWidth="1"/>
    <col min="10" max="10" width="46.42578125" bestFit="1" customWidth="1"/>
  </cols>
  <sheetData>
    <row r="1" spans="1:10" ht="36" customHeight="1" x14ac:dyDescent="0.25">
      <c r="A1" s="26" t="s">
        <v>0</v>
      </c>
      <c r="B1" s="26"/>
      <c r="C1" s="26"/>
      <c r="D1" s="26"/>
      <c r="E1" s="26"/>
      <c r="G1" s="29"/>
      <c r="H1" s="29"/>
      <c r="I1" s="29"/>
      <c r="J1" s="30" t="s">
        <v>59</v>
      </c>
    </row>
    <row r="2" spans="1:10" ht="19.5" customHeight="1" x14ac:dyDescent="0.25"/>
    <row r="3" spans="1:10" ht="21.75" customHeight="1" x14ac:dyDescent="0.25">
      <c r="B3" s="27" t="s">
        <v>1</v>
      </c>
      <c r="C3" s="27"/>
      <c r="D3" s="27"/>
      <c r="J3" s="32" t="s">
        <v>61</v>
      </c>
    </row>
    <row r="4" spans="1:10" ht="19.5" customHeight="1" x14ac:dyDescent="0.25">
      <c r="B4" s="1" t="s">
        <v>2</v>
      </c>
      <c r="C4" s="2">
        <v>1000000</v>
      </c>
      <c r="D4" s="3"/>
      <c r="J4" s="32" t="s">
        <v>62</v>
      </c>
    </row>
    <row r="5" spans="1:10" ht="19.5" customHeight="1" x14ac:dyDescent="0.25">
      <c r="B5" s="1" t="s">
        <v>3</v>
      </c>
      <c r="C5" s="4">
        <v>7.0000000000000007E-2</v>
      </c>
      <c r="D5" s="3"/>
      <c r="J5" s="32" t="s">
        <v>63</v>
      </c>
    </row>
    <row r="6" spans="1:10" ht="19.5" customHeight="1" x14ac:dyDescent="0.25">
      <c r="B6" s="1" t="s">
        <v>4</v>
      </c>
      <c r="C6" s="5">
        <v>25</v>
      </c>
      <c r="D6" s="3"/>
      <c r="J6" s="32" t="s">
        <v>64</v>
      </c>
    </row>
    <row r="7" spans="1:10" ht="19.5" customHeight="1" x14ac:dyDescent="0.25">
      <c r="B7" s="1" t="s">
        <v>5</v>
      </c>
      <c r="C7" s="5"/>
      <c r="D7" s="3" t="s">
        <v>6</v>
      </c>
      <c r="J7" s="32" t="s">
        <v>65</v>
      </c>
    </row>
    <row r="8" spans="1:10" ht="19.5" customHeight="1" x14ac:dyDescent="0.25">
      <c r="B8" s="1" t="s">
        <v>7</v>
      </c>
      <c r="C8" s="2">
        <v>0</v>
      </c>
      <c r="D8" s="3" t="s">
        <v>8</v>
      </c>
      <c r="J8" s="32" t="s">
        <v>66</v>
      </c>
    </row>
    <row r="9" spans="1:10" ht="19.5" customHeight="1" x14ac:dyDescent="0.25">
      <c r="B9" s="1" t="s">
        <v>9</v>
      </c>
      <c r="C9" s="5">
        <v>1</v>
      </c>
      <c r="D9" s="3" t="s">
        <v>10</v>
      </c>
      <c r="J9" s="32" t="s">
        <v>67</v>
      </c>
    </row>
    <row r="10" spans="1:10" ht="19.5" customHeight="1" x14ac:dyDescent="0.25">
      <c r="B10" s="1" t="s">
        <v>11</v>
      </c>
      <c r="C10" s="6" t="s">
        <v>12</v>
      </c>
      <c r="D10" s="3"/>
      <c r="J10" s="32" t="s">
        <v>68</v>
      </c>
    </row>
    <row r="11" spans="1:10" ht="19.5" customHeight="1" x14ac:dyDescent="0.25">
      <c r="B11" s="1" t="s">
        <v>13</v>
      </c>
      <c r="C11" s="6" t="s">
        <v>12</v>
      </c>
      <c r="D11" s="3"/>
      <c r="J11" s="32" t="s">
        <v>69</v>
      </c>
    </row>
    <row r="12" spans="1:10" ht="19.5" customHeight="1" x14ac:dyDescent="0.25">
      <c r="B12" s="1" t="s">
        <v>14</v>
      </c>
      <c r="C12" s="6" t="s">
        <v>15</v>
      </c>
      <c r="D12" s="3" t="s">
        <v>16</v>
      </c>
      <c r="J12" s="32" t="s">
        <v>70</v>
      </c>
    </row>
    <row r="13" spans="1:10" ht="19.5" customHeight="1" x14ac:dyDescent="0.25"/>
    <row r="14" spans="1:10" ht="21.75" customHeight="1" x14ac:dyDescent="0.25">
      <c r="B14" s="27" t="s">
        <v>17</v>
      </c>
      <c r="C14" s="27"/>
      <c r="D14" s="27"/>
    </row>
    <row r="15" spans="1:10" ht="19.5" customHeight="1" x14ac:dyDescent="0.25">
      <c r="B15" s="7" t="s">
        <v>18</v>
      </c>
      <c r="C15" s="8">
        <f>IF(C10="Monthly",12,IF(C10="Quarterly",4,IF(C10="Semi-Annual",2,1)))</f>
        <v>12</v>
      </c>
      <c r="D15" s="9"/>
    </row>
    <row r="16" spans="1:10" ht="19.5" customHeight="1" x14ac:dyDescent="0.25">
      <c r="B16" s="7" t="s">
        <v>19</v>
      </c>
      <c r="C16" s="8">
        <f>IF(C11="Daily",365,IF(C11="Monthly",12,IF(C11="Quarterly",4,IF(C11="Semi-Annual",2,1))))</f>
        <v>12</v>
      </c>
      <c r="D16" s="9"/>
    </row>
    <row r="17" spans="2:4" ht="19.5" customHeight="1" x14ac:dyDescent="0.25">
      <c r="B17" s="7" t="s">
        <v>20</v>
      </c>
      <c r="C17" s="10">
        <f>(1+C5/C16)^(C16/C15)-1</f>
        <v>5.833333333333357E-3</v>
      </c>
      <c r="D17" s="9"/>
    </row>
    <row r="18" spans="2:4" ht="19.5" customHeight="1" x14ac:dyDescent="0.25">
      <c r="B18" s="7" t="s">
        <v>21</v>
      </c>
      <c r="C18" s="8">
        <f>C6*C15</f>
        <v>300</v>
      </c>
      <c r="D18" s="9"/>
    </row>
    <row r="19" spans="2:4" ht="19.5" customHeight="1" x14ac:dyDescent="0.25">
      <c r="B19" s="7" t="s">
        <v>22</v>
      </c>
      <c r="C19" s="8">
        <f>INT(C7*C15/12)</f>
        <v>0</v>
      </c>
      <c r="D19" s="9"/>
    </row>
    <row r="20" spans="2:4" ht="19.5" customHeight="1" x14ac:dyDescent="0.25">
      <c r="B20" s="7" t="s">
        <v>23</v>
      </c>
      <c r="C20" s="8">
        <f>C18-C19</f>
        <v>300</v>
      </c>
      <c r="D20" s="9"/>
    </row>
    <row r="21" spans="2:4" ht="19.5" customHeight="1" x14ac:dyDescent="0.25">
      <c r="B21" s="7" t="s">
        <v>24</v>
      </c>
      <c r="C21" s="11">
        <f>IF(C20&gt;0,-PMT(C17,C20,C4,0,IF(C12="Beginning of Period",1,0)),0)</f>
        <v>7067.7919727509352</v>
      </c>
      <c r="D21" s="9"/>
    </row>
    <row r="22" spans="2:4" ht="19.5" customHeight="1" x14ac:dyDescent="0.25">
      <c r="B22" s="7" t="s">
        <v>25</v>
      </c>
      <c r="C22" s="11">
        <f>C4*C17</f>
        <v>5833.3333333333567</v>
      </c>
      <c r="D22" s="9"/>
    </row>
    <row r="23" spans="2:4" ht="19.5" customHeight="1" x14ac:dyDescent="0.25"/>
    <row r="24" spans="2:4" ht="21.75" customHeight="1" x14ac:dyDescent="0.25">
      <c r="B24" s="27" t="s">
        <v>26</v>
      </c>
      <c r="C24" s="27"/>
      <c r="D24" s="27"/>
    </row>
    <row r="25" spans="2:4" ht="19.5" customHeight="1" x14ac:dyDescent="0.25">
      <c r="B25" s="12" t="s">
        <v>27</v>
      </c>
      <c r="C25" s="13">
        <f>C21</f>
        <v>7067.7919727509352</v>
      </c>
      <c r="D25" s="14"/>
    </row>
    <row r="26" spans="2:4" ht="19.5" customHeight="1" x14ac:dyDescent="0.25">
      <c r="B26" s="12" t="s">
        <v>28</v>
      </c>
      <c r="C26" s="13">
        <f>C22</f>
        <v>5833.3333333333567</v>
      </c>
      <c r="D26" s="14"/>
    </row>
    <row r="27" spans="2:4" ht="19.5" customHeight="1" x14ac:dyDescent="0.25">
      <c r="B27" s="12" t="s">
        <v>29</v>
      </c>
      <c r="C27" s="13">
        <f>'Amortization Schedule'!J3</f>
        <v>0</v>
      </c>
      <c r="D27" s="14"/>
    </row>
    <row r="28" spans="2:4" ht="19.5" customHeight="1" x14ac:dyDescent="0.25">
      <c r="B28" s="12" t="s">
        <v>30</v>
      </c>
      <c r="C28" s="13">
        <f>'Amortization Schedule'!J4</f>
        <v>2120337.591825292</v>
      </c>
      <c r="D28" s="14"/>
    </row>
    <row r="29" spans="2:4" ht="19.5" customHeight="1" x14ac:dyDescent="0.25">
      <c r="B29" s="12" t="s">
        <v>31</v>
      </c>
      <c r="C29" s="13">
        <f>'Amortization Schedule'!J5</f>
        <v>0</v>
      </c>
      <c r="D29" s="14"/>
    </row>
    <row r="30" spans="2:4" ht="19.5" customHeight="1" x14ac:dyDescent="0.25">
      <c r="B30" s="12" t="s">
        <v>32</v>
      </c>
      <c r="C30" s="13">
        <f>'Amortization Schedule'!J6</f>
        <v>1120337.5918252829</v>
      </c>
      <c r="D30" s="14"/>
    </row>
    <row r="31" spans="2:4" ht="19.5" customHeight="1" x14ac:dyDescent="0.25">
      <c r="B31" s="12" t="s">
        <v>33</v>
      </c>
      <c r="C31" s="13">
        <f>'Amortization Schedule'!J7</f>
        <v>2120337.591825292</v>
      </c>
      <c r="D31" s="14"/>
    </row>
    <row r="32" spans="2:4" ht="19.5" customHeight="1" x14ac:dyDescent="0.25">
      <c r="B32" s="12" t="s">
        <v>34</v>
      </c>
      <c r="C32" s="15">
        <f>(1+C17)^C15-1</f>
        <v>7.2290080856235894E-2</v>
      </c>
      <c r="D32" s="14"/>
    </row>
    <row r="33" spans="2:4" ht="19.5" customHeight="1" x14ac:dyDescent="0.25">
      <c r="B33" s="31" t="s">
        <v>60</v>
      </c>
      <c r="C33" s="31"/>
      <c r="D33" s="31"/>
    </row>
    <row r="34" spans="2:4" ht="19.5" customHeight="1" x14ac:dyDescent="0.25"/>
    <row r="35" spans="2:4" ht="19.5" customHeight="1" x14ac:dyDescent="0.25"/>
    <row r="36" spans="2:4" ht="19.5" customHeight="1" x14ac:dyDescent="0.25"/>
    <row r="37" spans="2:4" ht="21.75" customHeight="1" x14ac:dyDescent="0.25">
      <c r="B37" s="27" t="s">
        <v>35</v>
      </c>
      <c r="C37" s="27"/>
      <c r="D37" s="27"/>
    </row>
    <row r="38" spans="2:4" ht="15.75" customHeight="1" x14ac:dyDescent="0.25">
      <c r="B38" s="25" t="s">
        <v>36</v>
      </c>
      <c r="C38" s="25"/>
      <c r="D38" s="25"/>
    </row>
    <row r="39" spans="2:4" ht="15.75" customHeight="1" x14ac:dyDescent="0.25">
      <c r="B39" s="25" t="s">
        <v>37</v>
      </c>
      <c r="C39" s="25"/>
      <c r="D39" s="25"/>
    </row>
    <row r="40" spans="2:4" ht="15.75" customHeight="1" x14ac:dyDescent="0.25">
      <c r="B40" s="25" t="s">
        <v>38</v>
      </c>
      <c r="C40" s="25"/>
      <c r="D40" s="25"/>
    </row>
    <row r="41" spans="2:4" ht="15.75" customHeight="1" x14ac:dyDescent="0.25">
      <c r="B41" s="25" t="s">
        <v>39</v>
      </c>
      <c r="C41" s="25"/>
      <c r="D41" s="25"/>
    </row>
    <row r="42" spans="2:4" ht="15.75" customHeight="1" x14ac:dyDescent="0.25">
      <c r="B42" s="25" t="s">
        <v>40</v>
      </c>
      <c r="C42" s="25"/>
      <c r="D42" s="25"/>
    </row>
    <row r="43" spans="2:4" ht="15.75" customHeight="1" x14ac:dyDescent="0.25">
      <c r="B43" s="25" t="s">
        <v>41</v>
      </c>
      <c r="C43" s="25"/>
      <c r="D43" s="25"/>
    </row>
    <row r="44" spans="2:4" ht="15.75" customHeight="1" x14ac:dyDescent="0.25">
      <c r="B44" s="25" t="s">
        <v>42</v>
      </c>
      <c r="C44" s="25"/>
      <c r="D44" s="25"/>
    </row>
    <row r="45" spans="2:4" ht="19.5" customHeight="1" x14ac:dyDescent="0.25"/>
    <row r="46" spans="2:4" ht="19.5" customHeight="1" x14ac:dyDescent="0.25"/>
    <row r="47" spans="2:4" ht="19.5" customHeight="1" x14ac:dyDescent="0.25"/>
    <row r="48" spans="2:4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</sheetData>
  <mergeCells count="13">
    <mergeCell ref="B33:D33"/>
    <mergeCell ref="A1:E1"/>
    <mergeCell ref="B3:D3"/>
    <mergeCell ref="B14:D14"/>
    <mergeCell ref="B24:D24"/>
    <mergeCell ref="B37:D37"/>
    <mergeCell ref="B43:D43"/>
    <mergeCell ref="B44:D44"/>
    <mergeCell ref="B38:D38"/>
    <mergeCell ref="B39:D39"/>
    <mergeCell ref="B40:D40"/>
    <mergeCell ref="B41:D41"/>
    <mergeCell ref="B42:D42"/>
  </mergeCells>
  <dataValidations count="3">
    <dataValidation type="list" sqref="C10" xr:uid="{00000000-0002-0000-0000-000000000000}">
      <formula1>"Monthly,Quarterly,Semi-Annual,Annual"</formula1>
      <formula2>0</formula2>
    </dataValidation>
    <dataValidation type="list" sqref="C11" xr:uid="{00000000-0002-0000-0000-000001000000}">
      <formula1>"Daily,Monthly,Quarterly,Semi-Annual,Annual"</formula1>
      <formula2>0</formula2>
    </dataValidation>
    <dataValidation type="list" sqref="C12" xr:uid="{00000000-0002-0000-0000-000002000000}">
      <formula1>"End of Period,Beginning of Period"</formula1>
      <formula2>0</formula2>
    </dataValidation>
  </dataValidations>
  <hyperlinks>
    <hyperlink ref="J3" r:id="rId1" xr:uid="{887C1819-EFC8-43EC-9C8B-C1A1B1F4A243}"/>
    <hyperlink ref="J4" r:id="rId2" xr:uid="{87F604FB-74A2-4504-A31D-8AF592CECF03}"/>
    <hyperlink ref="J5" r:id="rId3" xr:uid="{9CE22A1D-5BBA-4497-A619-6FB8882DFB2B}"/>
    <hyperlink ref="J6" r:id="rId4" xr:uid="{04DD39F8-76AC-4DB4-8763-C3E64CDC08F9}"/>
    <hyperlink ref="J12" r:id="rId5" xr:uid="{6CE45BB8-4AEE-4BDA-A768-A73EBA0116BB}"/>
    <hyperlink ref="J11" r:id="rId6" xr:uid="{9AD652A0-B6F7-462E-A70C-3AEFAE700154}"/>
    <hyperlink ref="J10" r:id="rId7" xr:uid="{3526F6C6-E107-4260-B818-9DAE004EA793}"/>
    <hyperlink ref="J9" r:id="rId8" xr:uid="{46F39B2C-0178-4D4B-9B7A-C4F29933399E}"/>
    <hyperlink ref="J8" r:id="rId9" xr:uid="{F8E58460-DA59-496F-8B0F-906166EE3F3D}"/>
    <hyperlink ref="J7" r:id="rId10" xr:uid="{6DA55EBA-ECE2-456B-97BC-17F537926B0D}"/>
  </hyperlinks>
  <pageMargins left="0.75" right="0.75" top="1" bottom="1" header="0.511811023622047" footer="0.511811023622047"/>
  <pageSetup paperSize="9"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1"/>
  <sheetViews>
    <sheetView zoomScaleNormal="100" workbookViewId="0">
      <pane ySplit="11" topLeftCell="A39" activePane="bottomLeft" state="frozen"/>
      <selection pane="bottomLeft" sqref="A1:J1"/>
    </sheetView>
  </sheetViews>
  <sheetFormatPr defaultColWidth="8.7109375" defaultRowHeight="15" customHeight="1" x14ac:dyDescent="0.25"/>
  <cols>
    <col min="1" max="1" width="6" customWidth="1"/>
    <col min="2" max="9" width="18" customWidth="1"/>
    <col min="10" max="10" width="20" customWidth="1"/>
  </cols>
  <sheetData>
    <row r="1" spans="1:10" ht="30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I3" s="16" t="s">
        <v>44</v>
      </c>
      <c r="J3" s="17">
        <f>SUMIF(J12:J491,"IO",C12:C491)</f>
        <v>0</v>
      </c>
    </row>
    <row r="4" spans="1:10" x14ac:dyDescent="0.25">
      <c r="I4" s="16" t="s">
        <v>45</v>
      </c>
      <c r="J4" s="17">
        <f>SUMIF(J12:J491,"P&amp;I",E12:E491)-SUMIF(J12:J491,"P&amp;I",D12:D491)</f>
        <v>2120337.591825292</v>
      </c>
    </row>
    <row r="5" spans="1:10" x14ac:dyDescent="0.25">
      <c r="I5" s="16" t="s">
        <v>46</v>
      </c>
      <c r="J5" s="17">
        <f>SUMIF(J12:J491,"P&amp;I",D12:D491)</f>
        <v>0</v>
      </c>
    </row>
    <row r="6" spans="1:10" x14ac:dyDescent="0.25">
      <c r="I6" s="16" t="s">
        <v>47</v>
      </c>
      <c r="J6" s="17">
        <f>SUM(F12:F491)</f>
        <v>1120337.5918252829</v>
      </c>
    </row>
    <row r="7" spans="1:10" x14ac:dyDescent="0.25">
      <c r="I7" s="16" t="s">
        <v>48</v>
      </c>
      <c r="J7" s="17">
        <f>SUM(E12:E491)</f>
        <v>2120337.591825292</v>
      </c>
    </row>
    <row r="11" spans="1:10" ht="30" customHeight="1" x14ac:dyDescent="0.25">
      <c r="A11" s="18" t="s">
        <v>49</v>
      </c>
      <c r="B11" s="18" t="s">
        <v>50</v>
      </c>
      <c r="C11" s="18" t="s">
        <v>51</v>
      </c>
      <c r="D11" s="18" t="s">
        <v>52</v>
      </c>
      <c r="E11" s="18" t="s">
        <v>53</v>
      </c>
      <c r="F11" s="18" t="s">
        <v>54</v>
      </c>
      <c r="G11" s="18" t="s">
        <v>55</v>
      </c>
      <c r="H11" s="18" t="s">
        <v>56</v>
      </c>
      <c r="I11" s="18" t="s">
        <v>57</v>
      </c>
      <c r="J11" s="18" t="s">
        <v>58</v>
      </c>
    </row>
    <row r="12" spans="1:10" ht="15.75" customHeight="1" x14ac:dyDescent="0.25">
      <c r="A12" s="19">
        <f>IF(1&lt;=Calculator!C18,1,"")</f>
        <v>1</v>
      </c>
      <c r="B12" s="20">
        <f>Calculator!C4</f>
        <v>1000000</v>
      </c>
      <c r="C12" s="20">
        <f>IF(A12="","",IF(J12="IO",Calculator!C22,IF(B12&gt;0,MIN(Calculator!C21,B12*(1+Calculator!C17)),0)))</f>
        <v>7067.7919727509352</v>
      </c>
      <c r="D12" s="20">
        <f>IF(A12="","",IF(AND(J12="P&amp;I",A12&gt;=Calculator!C9),MIN(Calculator!C8,MAX(0,B12-C12+F12)),0))</f>
        <v>0</v>
      </c>
      <c r="E12" s="20">
        <f t="shared" ref="E12:E75" si="0">IF(A12="","",C12+D12)</f>
        <v>7067.7919727509352</v>
      </c>
      <c r="F12" s="20">
        <f>IF(A12="","",IF(Calculator!C12="Beginning of Period",MAX(0,(B12-IF(J12="IO",Calculator!C22,Calculator!C21))*Calculator!C17),B12*Calculator!C17))</f>
        <v>5833.3333333333567</v>
      </c>
      <c r="G12" s="20">
        <f t="shared" ref="G12:G75" si="1">IF(A12="","",IF(J12="IO",0,MAX(0,C12-F12)))</f>
        <v>1234.4586394175785</v>
      </c>
      <c r="H12" s="20">
        <f t="shared" ref="H12:H75" si="2">IF(A12="","",MAX(0,B12-G12-D12))</f>
        <v>998765.54136058246</v>
      </c>
      <c r="I12" s="20">
        <f>IF(A12="","",F12)</f>
        <v>5833.3333333333567</v>
      </c>
      <c r="J12" s="21" t="str">
        <f>IF(A12="","",IF(A12&lt;=Calculator!C19,"IO","P&amp;I"))</f>
        <v>P&amp;I</v>
      </c>
    </row>
    <row r="13" spans="1:10" ht="15.75" customHeight="1" x14ac:dyDescent="0.25">
      <c r="A13" s="22">
        <f>IF(2&lt;=Calculator!C18,2,"")</f>
        <v>2</v>
      </c>
      <c r="B13" s="23">
        <f t="shared" ref="B13:B76" si="3">IF(A13="","",H12)</f>
        <v>998765.54136058246</v>
      </c>
      <c r="C13" s="23">
        <f>IF(A13="","",IF(J13="IO",Calculator!C22,IF(B13&gt;0,MIN(Calculator!C21,B13*(1+Calculator!C17)),0)))</f>
        <v>7067.7919727509352</v>
      </c>
      <c r="D13" s="23">
        <f>IF(A13="","",IF(AND(J13="P&amp;I",A13&gt;=Calculator!C9),MIN(Calculator!C8,MAX(0,B13-C13+F13)),0))</f>
        <v>0</v>
      </c>
      <c r="E13" s="23">
        <f t="shared" si="0"/>
        <v>7067.7919727509352</v>
      </c>
      <c r="F13" s="23">
        <f>IF(A13="","",IF(Calculator!C12="Beginning of Period",MAX(0,(B13-IF(J13="IO",Calculator!C22,Calculator!C21))*Calculator!C17),B13*Calculator!C17))</f>
        <v>5826.1323246034217</v>
      </c>
      <c r="G13" s="23">
        <f t="shared" si="1"/>
        <v>1241.6596481475135</v>
      </c>
      <c r="H13" s="23">
        <f t="shared" si="2"/>
        <v>997523.88171243493</v>
      </c>
      <c r="I13" s="23">
        <f t="shared" ref="I13:I76" si="4">IF(A13="","",I12+F13)</f>
        <v>11659.465657936778</v>
      </c>
      <c r="J13" s="24" t="str">
        <f>IF(A13="","",IF(A13&lt;=Calculator!C19,"IO","P&amp;I"))</f>
        <v>P&amp;I</v>
      </c>
    </row>
    <row r="14" spans="1:10" ht="15.75" customHeight="1" x14ac:dyDescent="0.25">
      <c r="A14" s="19">
        <f>IF(3&lt;=Calculator!C18,3,"")</f>
        <v>3</v>
      </c>
      <c r="B14" s="20">
        <f t="shared" si="3"/>
        <v>997523.88171243493</v>
      </c>
      <c r="C14" s="20">
        <f>IF(A14="","",IF(J14="IO",Calculator!C22,IF(B14&gt;0,MIN(Calculator!C21,B14*(1+Calculator!C17)),0)))</f>
        <v>7067.7919727509352</v>
      </c>
      <c r="D14" s="20">
        <f>IF(A14="","",IF(AND(J14="P&amp;I",A14&gt;=Calculator!C9),MIN(Calculator!C8,MAX(0,B14-C14+F14)),0))</f>
        <v>0</v>
      </c>
      <c r="E14" s="20">
        <f t="shared" si="0"/>
        <v>7067.7919727509352</v>
      </c>
      <c r="F14" s="20">
        <f>IF(A14="","",IF(Calculator!C12="Beginning of Period",MAX(0,(B14-IF(J14="IO",Calculator!C22,Calculator!C21))*Calculator!C17),B14*Calculator!C17))</f>
        <v>5818.8893099892275</v>
      </c>
      <c r="G14" s="20">
        <f t="shared" si="1"/>
        <v>1248.9026627617077</v>
      </c>
      <c r="H14" s="20">
        <f t="shared" si="2"/>
        <v>996274.97904967319</v>
      </c>
      <c r="I14" s="20">
        <f t="shared" si="4"/>
        <v>17478.354967926007</v>
      </c>
      <c r="J14" s="21" t="str">
        <f>IF(A14="","",IF(A14&lt;=Calculator!C19,"IO","P&amp;I"))</f>
        <v>P&amp;I</v>
      </c>
    </row>
    <row r="15" spans="1:10" ht="15.75" customHeight="1" x14ac:dyDescent="0.25">
      <c r="A15" s="22">
        <f>IF(4&lt;=Calculator!C18,4,"")</f>
        <v>4</v>
      </c>
      <c r="B15" s="23">
        <f t="shared" si="3"/>
        <v>996274.97904967319</v>
      </c>
      <c r="C15" s="23">
        <f>IF(A15="","",IF(J15="IO",Calculator!C22,IF(B15&gt;0,MIN(Calculator!C21,B15*(1+Calculator!C17)),0)))</f>
        <v>7067.7919727509352</v>
      </c>
      <c r="D15" s="23">
        <f>IF(A15="","",IF(AND(J15="P&amp;I",A15&gt;=Calculator!C9),MIN(Calculator!C8,MAX(0,B15-C15+F15)),0))</f>
        <v>0</v>
      </c>
      <c r="E15" s="23">
        <f t="shared" si="0"/>
        <v>7067.7919727509352</v>
      </c>
      <c r="F15" s="23">
        <f>IF(A15="","",IF(Calculator!C12="Beginning of Period",MAX(0,(B15-IF(J15="IO",Calculator!C22,Calculator!C21))*Calculator!C17),B15*Calculator!C17))</f>
        <v>5811.6040444564505</v>
      </c>
      <c r="G15" s="23">
        <f t="shared" si="1"/>
        <v>1256.1879282944847</v>
      </c>
      <c r="H15" s="23">
        <f t="shared" si="2"/>
        <v>995018.79112137866</v>
      </c>
      <c r="I15" s="23">
        <f t="shared" si="4"/>
        <v>23289.959012382456</v>
      </c>
      <c r="J15" s="24" t="str">
        <f>IF(A15="","",IF(A15&lt;=Calculator!C19,"IO","P&amp;I"))</f>
        <v>P&amp;I</v>
      </c>
    </row>
    <row r="16" spans="1:10" ht="15.75" customHeight="1" x14ac:dyDescent="0.25">
      <c r="A16" s="19">
        <f>IF(5&lt;=Calculator!C18,5,"")</f>
        <v>5</v>
      </c>
      <c r="B16" s="20">
        <f t="shared" si="3"/>
        <v>995018.79112137866</v>
      </c>
      <c r="C16" s="20">
        <f>IF(A16="","",IF(J16="IO",Calculator!C22,IF(B16&gt;0,MIN(Calculator!C21,B16*(1+Calculator!C17)),0)))</f>
        <v>7067.7919727509352</v>
      </c>
      <c r="D16" s="20">
        <f>IF(A16="","",IF(AND(J16="P&amp;I",A16&gt;=Calculator!C9),MIN(Calculator!C8,MAX(0,B16-C16+F16)),0))</f>
        <v>0</v>
      </c>
      <c r="E16" s="20">
        <f t="shared" si="0"/>
        <v>7067.7919727509352</v>
      </c>
      <c r="F16" s="20">
        <f>IF(A16="","",IF(Calculator!C12="Beginning of Period",MAX(0,(B16-IF(J16="IO",Calculator!C22,Calculator!C21))*Calculator!C17),B16*Calculator!C17))</f>
        <v>5804.2762815413989</v>
      </c>
      <c r="G16" s="20">
        <f t="shared" si="1"/>
        <v>1263.5156912095363</v>
      </c>
      <c r="H16" s="20">
        <f t="shared" si="2"/>
        <v>993755.27543016907</v>
      </c>
      <c r="I16" s="20">
        <f t="shared" si="4"/>
        <v>29094.235293923855</v>
      </c>
      <c r="J16" s="21" t="str">
        <f>IF(A16="","",IF(A16&lt;=Calculator!C19,"IO","P&amp;I"))</f>
        <v>P&amp;I</v>
      </c>
    </row>
    <row r="17" spans="1:10" ht="15.75" customHeight="1" x14ac:dyDescent="0.25">
      <c r="A17" s="22">
        <f>IF(6&lt;=Calculator!C18,6,"")</f>
        <v>6</v>
      </c>
      <c r="B17" s="23">
        <f t="shared" si="3"/>
        <v>993755.27543016907</v>
      </c>
      <c r="C17" s="23">
        <f>IF(A17="","",IF(J17="IO",Calculator!C22,IF(B17&gt;0,MIN(Calculator!C21,B17*(1+Calculator!C17)),0)))</f>
        <v>7067.7919727509352</v>
      </c>
      <c r="D17" s="23">
        <f>IF(A17="","",IF(AND(J17="P&amp;I",A17&gt;=Calculator!C9),MIN(Calculator!C8,MAX(0,B17-C17+F17)),0))</f>
        <v>0</v>
      </c>
      <c r="E17" s="23">
        <f t="shared" si="0"/>
        <v>7067.7919727509352</v>
      </c>
      <c r="F17" s="23">
        <f>IF(A17="","",IF(Calculator!C12="Beginning of Period",MAX(0,(B17-IF(J17="IO",Calculator!C22,Calculator!C21))*Calculator!C17),B17*Calculator!C17))</f>
        <v>5796.9057733426762</v>
      </c>
      <c r="G17" s="23">
        <f t="shared" si="1"/>
        <v>1270.886199408259</v>
      </c>
      <c r="H17" s="23">
        <f t="shared" si="2"/>
        <v>992484.38923076086</v>
      </c>
      <c r="I17" s="23">
        <f t="shared" si="4"/>
        <v>34891.14106726653</v>
      </c>
      <c r="J17" s="24" t="str">
        <f>IF(A17="","",IF(A17&lt;=Calculator!C19,"IO","P&amp;I"))</f>
        <v>P&amp;I</v>
      </c>
    </row>
    <row r="18" spans="1:10" ht="15.75" customHeight="1" x14ac:dyDescent="0.25">
      <c r="A18" s="19">
        <f>IF(7&lt;=Calculator!C18,7,"")</f>
        <v>7</v>
      </c>
      <c r="B18" s="20">
        <f t="shared" si="3"/>
        <v>992484.38923076086</v>
      </c>
      <c r="C18" s="20">
        <f>IF(A18="","",IF(J18="IO",Calculator!C22,IF(B18&gt;0,MIN(Calculator!C21,B18*(1+Calculator!C17)),0)))</f>
        <v>7067.7919727509352</v>
      </c>
      <c r="D18" s="20">
        <f>IF(A18="","",IF(AND(J18="P&amp;I",A18&gt;=Calculator!C9),MIN(Calculator!C8,MAX(0,B18-C18+F18)),0))</f>
        <v>0</v>
      </c>
      <c r="E18" s="20">
        <f t="shared" si="0"/>
        <v>7067.7919727509352</v>
      </c>
      <c r="F18" s="20">
        <f>IF(A18="","",IF(Calculator!C12="Beginning of Period",MAX(0,(B18-IF(J18="IO",Calculator!C22,Calculator!C21))*Calculator!C17),B18*Calculator!C17))</f>
        <v>5789.4922705127956</v>
      </c>
      <c r="G18" s="20">
        <f t="shared" si="1"/>
        <v>1278.2997022381396</v>
      </c>
      <c r="H18" s="20">
        <f t="shared" si="2"/>
        <v>991206.08952852269</v>
      </c>
      <c r="I18" s="20">
        <f t="shared" si="4"/>
        <v>40680.633337779327</v>
      </c>
      <c r="J18" s="21" t="str">
        <f>IF(A18="","",IF(A18&lt;=Calculator!C19,"IO","P&amp;I"))</f>
        <v>P&amp;I</v>
      </c>
    </row>
    <row r="19" spans="1:10" ht="15.75" customHeight="1" x14ac:dyDescent="0.25">
      <c r="A19" s="22">
        <f>IF(8&lt;=Calculator!C18,8,"")</f>
        <v>8</v>
      </c>
      <c r="B19" s="23">
        <f t="shared" si="3"/>
        <v>991206.08952852269</v>
      </c>
      <c r="C19" s="23">
        <f>IF(A19="","",IF(J19="IO",Calculator!C22,IF(B19&gt;0,MIN(Calculator!C21,B19*(1+Calculator!C17)),0)))</f>
        <v>7067.7919727509352</v>
      </c>
      <c r="D19" s="23">
        <f>IF(A19="","",IF(AND(J19="P&amp;I",A19&gt;=Calculator!C9),MIN(Calculator!C8,MAX(0,B19-C19+F19)),0))</f>
        <v>0</v>
      </c>
      <c r="E19" s="23">
        <f t="shared" si="0"/>
        <v>7067.7919727509352</v>
      </c>
      <c r="F19" s="23">
        <f>IF(A19="","",IF(Calculator!C12="Beginning of Period",MAX(0,(B19-IF(J19="IO",Calculator!C22,Calculator!C21))*Calculator!C17),B19*Calculator!C17))</f>
        <v>5782.0355222497392</v>
      </c>
      <c r="G19" s="23">
        <f t="shared" si="1"/>
        <v>1285.756450501196</v>
      </c>
      <c r="H19" s="23">
        <f t="shared" si="2"/>
        <v>989920.33307802153</v>
      </c>
      <c r="I19" s="23">
        <f t="shared" si="4"/>
        <v>46462.668860029065</v>
      </c>
      <c r="J19" s="24" t="str">
        <f>IF(A19="","",IF(A19&lt;=Calculator!C19,"IO","P&amp;I"))</f>
        <v>P&amp;I</v>
      </c>
    </row>
    <row r="20" spans="1:10" ht="15.75" customHeight="1" x14ac:dyDescent="0.25">
      <c r="A20" s="19">
        <f>IF(9&lt;=Calculator!C18,9,"")</f>
        <v>9</v>
      </c>
      <c r="B20" s="20">
        <f t="shared" si="3"/>
        <v>989920.33307802153</v>
      </c>
      <c r="C20" s="20">
        <f>IF(A20="","",IF(J20="IO",Calculator!C22,IF(B20&gt;0,MIN(Calculator!C21,B20*(1+Calculator!C17)),0)))</f>
        <v>7067.7919727509352</v>
      </c>
      <c r="D20" s="20">
        <f>IF(A20="","",IF(AND(J20="P&amp;I",A20&gt;=Calculator!C9),MIN(Calculator!C8,MAX(0,B20-C20+F20)),0))</f>
        <v>0</v>
      </c>
      <c r="E20" s="20">
        <f t="shared" si="0"/>
        <v>7067.7919727509352</v>
      </c>
      <c r="F20" s="20">
        <f>IF(A20="","",IF(Calculator!C12="Beginning of Period",MAX(0,(B20-IF(J20="IO",Calculator!C22,Calculator!C21))*Calculator!C17),B20*Calculator!C17))</f>
        <v>5774.5352762884822</v>
      </c>
      <c r="G20" s="20">
        <f t="shared" si="1"/>
        <v>1293.256696462453</v>
      </c>
      <c r="H20" s="20">
        <f t="shared" si="2"/>
        <v>988627.07638155913</v>
      </c>
      <c r="I20" s="20">
        <f t="shared" si="4"/>
        <v>52237.204136317545</v>
      </c>
      <c r="J20" s="21" t="str">
        <f>IF(A20="","",IF(A20&lt;=Calculator!C19,"IO","P&amp;I"))</f>
        <v>P&amp;I</v>
      </c>
    </row>
    <row r="21" spans="1:10" ht="15.75" customHeight="1" x14ac:dyDescent="0.25">
      <c r="A21" s="22">
        <f>IF(10&lt;=Calculator!C18,10,"")</f>
        <v>10</v>
      </c>
      <c r="B21" s="23">
        <f t="shared" si="3"/>
        <v>988627.07638155913</v>
      </c>
      <c r="C21" s="23">
        <f>IF(A21="","",IF(J21="IO",Calculator!C22,IF(B21&gt;0,MIN(Calculator!C21,B21*(1+Calculator!C17)),0)))</f>
        <v>7067.7919727509352</v>
      </c>
      <c r="D21" s="23">
        <f>IF(A21="","",IF(AND(J21="P&amp;I",A21&gt;=Calculator!C9),MIN(Calculator!C8,MAX(0,B21-C21+F21)),0))</f>
        <v>0</v>
      </c>
      <c r="E21" s="23">
        <f t="shared" si="0"/>
        <v>7067.7919727509352</v>
      </c>
      <c r="F21" s="23">
        <f>IF(A21="","",IF(Calculator!C12="Beginning of Period",MAX(0,(B21-IF(J21="IO",Calculator!C22,Calculator!C21))*Calculator!C17),B21*Calculator!C17))</f>
        <v>5766.9912788924521</v>
      </c>
      <c r="G21" s="23">
        <f t="shared" si="1"/>
        <v>1300.8006938584831</v>
      </c>
      <c r="H21" s="23">
        <f t="shared" si="2"/>
        <v>987326.2756877006</v>
      </c>
      <c r="I21" s="23">
        <f t="shared" si="4"/>
        <v>58004.195415209993</v>
      </c>
      <c r="J21" s="24" t="str">
        <f>IF(A21="","",IF(A21&lt;=Calculator!C19,"IO","P&amp;I"))</f>
        <v>P&amp;I</v>
      </c>
    </row>
    <row r="22" spans="1:10" ht="15.75" customHeight="1" x14ac:dyDescent="0.25">
      <c r="A22" s="19">
        <f>IF(11&lt;=Calculator!C18,11,"")</f>
        <v>11</v>
      </c>
      <c r="B22" s="20">
        <f t="shared" si="3"/>
        <v>987326.2756877006</v>
      </c>
      <c r="C22" s="20">
        <f>IF(A22="","",IF(J22="IO",Calculator!C22,IF(B22&gt;0,MIN(Calculator!C21,B22*(1+Calculator!C17)),0)))</f>
        <v>7067.7919727509352</v>
      </c>
      <c r="D22" s="20">
        <f>IF(A22="","",IF(AND(J22="P&amp;I",A22&gt;=Calculator!C9),MIN(Calculator!C8,MAX(0,B22-C22+F22)),0))</f>
        <v>0</v>
      </c>
      <c r="E22" s="20">
        <f t="shared" si="0"/>
        <v>7067.7919727509352</v>
      </c>
      <c r="F22" s="20">
        <f>IF(A22="","",IF(Calculator!C12="Beginning of Period",MAX(0,(B22-IF(J22="IO",Calculator!C22,Calculator!C21))*Calculator!C17),B22*Calculator!C17))</f>
        <v>5759.4032748449436</v>
      </c>
      <c r="G22" s="20">
        <f t="shared" si="1"/>
        <v>1308.3886979059916</v>
      </c>
      <c r="H22" s="20">
        <f t="shared" si="2"/>
        <v>986017.88698979456</v>
      </c>
      <c r="I22" s="20">
        <f t="shared" si="4"/>
        <v>63763.59869005494</v>
      </c>
      <c r="J22" s="21" t="str">
        <f>IF(A22="","",IF(A22&lt;=Calculator!C19,"IO","P&amp;I"))</f>
        <v>P&amp;I</v>
      </c>
    </row>
    <row r="23" spans="1:10" ht="15.75" customHeight="1" x14ac:dyDescent="0.25">
      <c r="A23" s="22">
        <f>IF(12&lt;=Calculator!C18,12,"")</f>
        <v>12</v>
      </c>
      <c r="B23" s="23">
        <f t="shared" si="3"/>
        <v>986017.88698979456</v>
      </c>
      <c r="C23" s="23">
        <f>IF(A23="","",IF(J23="IO",Calculator!C22,IF(B23&gt;0,MIN(Calculator!C21,B23*(1+Calculator!C17)),0)))</f>
        <v>7067.7919727509352</v>
      </c>
      <c r="D23" s="23">
        <f>IF(A23="","",IF(AND(J23="P&amp;I",A23&gt;=Calculator!C9),MIN(Calculator!C8,MAX(0,B23-C23+F23)),0))</f>
        <v>0</v>
      </c>
      <c r="E23" s="23">
        <f t="shared" si="0"/>
        <v>7067.7919727509352</v>
      </c>
      <c r="F23" s="23">
        <f>IF(A23="","",IF(Calculator!C12="Beginning of Period",MAX(0,(B23-IF(J23="IO",Calculator!C22,Calculator!C21))*Calculator!C17),B23*Calculator!C17))</f>
        <v>5751.7710074404913</v>
      </c>
      <c r="G23" s="23">
        <f t="shared" si="1"/>
        <v>1316.0209653104439</v>
      </c>
      <c r="H23" s="23">
        <f t="shared" si="2"/>
        <v>984701.86602448416</v>
      </c>
      <c r="I23" s="23">
        <f t="shared" si="4"/>
        <v>69515.369697495436</v>
      </c>
      <c r="J23" s="24" t="str">
        <f>IF(A23="","",IF(A23&lt;=Calculator!C19,"IO","P&amp;I"))</f>
        <v>P&amp;I</v>
      </c>
    </row>
    <row r="24" spans="1:10" ht="15.75" customHeight="1" x14ac:dyDescent="0.25">
      <c r="A24" s="19">
        <f>IF(13&lt;=Calculator!C18,13,"")</f>
        <v>13</v>
      </c>
      <c r="B24" s="20">
        <f t="shared" si="3"/>
        <v>984701.86602448416</v>
      </c>
      <c r="C24" s="20">
        <f>IF(A24="","",IF(J24="IO",Calculator!C22,IF(B24&gt;0,MIN(Calculator!C21,B24*(1+Calculator!C17)),0)))</f>
        <v>7067.7919727509352</v>
      </c>
      <c r="D24" s="20">
        <f>IF(A24="","",IF(AND(J24="P&amp;I",A24&gt;=Calculator!C9),MIN(Calculator!C8,MAX(0,B24-C24+F24)),0))</f>
        <v>0</v>
      </c>
      <c r="E24" s="20">
        <f t="shared" si="0"/>
        <v>7067.7919727509352</v>
      </c>
      <c r="F24" s="20">
        <f>IF(A24="","",IF(Calculator!C12="Beginning of Period",MAX(0,(B24-IF(J24="IO",Calculator!C22,Calculator!C21))*Calculator!C17),B24*Calculator!C17))</f>
        <v>5744.0942184761807</v>
      </c>
      <c r="G24" s="20">
        <f t="shared" si="1"/>
        <v>1323.6977542747545</v>
      </c>
      <c r="H24" s="20">
        <f t="shared" si="2"/>
        <v>983378.16827020945</v>
      </c>
      <c r="I24" s="20">
        <f t="shared" si="4"/>
        <v>75259.463915971617</v>
      </c>
      <c r="J24" s="21" t="str">
        <f>IF(A24="","",IF(A24&lt;=Calculator!C19,"IO","P&amp;I"))</f>
        <v>P&amp;I</v>
      </c>
    </row>
    <row r="25" spans="1:10" ht="15.75" customHeight="1" x14ac:dyDescent="0.25">
      <c r="A25" s="22">
        <f>IF(14&lt;=Calculator!C18,14,"")</f>
        <v>14</v>
      </c>
      <c r="B25" s="23">
        <f t="shared" si="3"/>
        <v>983378.16827020945</v>
      </c>
      <c r="C25" s="23">
        <f>IF(A25="","",IF(J25="IO",Calculator!C22,IF(B25&gt;0,MIN(Calculator!C21,B25*(1+Calculator!C17)),0)))</f>
        <v>7067.7919727509352</v>
      </c>
      <c r="D25" s="23">
        <f>IF(A25="","",IF(AND(J25="P&amp;I",A25&gt;=Calculator!C9),MIN(Calculator!C8,MAX(0,B25-C25+F25)),0))</f>
        <v>0</v>
      </c>
      <c r="E25" s="23">
        <f t="shared" si="0"/>
        <v>7067.7919727509352</v>
      </c>
      <c r="F25" s="23">
        <f>IF(A25="","",IF(Calculator!C12="Beginning of Period",MAX(0,(B25-IF(J25="IO",Calculator!C22,Calculator!C21))*Calculator!C17),B25*Calculator!C17))</f>
        <v>5736.372648242912</v>
      </c>
      <c r="G25" s="23">
        <f t="shared" si="1"/>
        <v>1331.4193245080232</v>
      </c>
      <c r="H25" s="23">
        <f t="shared" si="2"/>
        <v>982046.7489457014</v>
      </c>
      <c r="I25" s="23">
        <f t="shared" si="4"/>
        <v>80995.836564214522</v>
      </c>
      <c r="J25" s="24" t="str">
        <f>IF(A25="","",IF(A25&lt;=Calculator!C19,"IO","P&amp;I"))</f>
        <v>P&amp;I</v>
      </c>
    </row>
    <row r="26" spans="1:10" ht="15.75" customHeight="1" x14ac:dyDescent="0.25">
      <c r="A26" s="19">
        <f>IF(15&lt;=Calculator!C18,15,"")</f>
        <v>15</v>
      </c>
      <c r="B26" s="20">
        <f t="shared" si="3"/>
        <v>982046.7489457014</v>
      </c>
      <c r="C26" s="20">
        <f>IF(A26="","",IF(J26="IO",Calculator!C22,IF(B26&gt;0,MIN(Calculator!C21,B26*(1+Calculator!C17)),0)))</f>
        <v>7067.7919727509352</v>
      </c>
      <c r="D26" s="20">
        <f>IF(A26="","",IF(AND(J26="P&amp;I",A26&gt;=Calculator!C9),MIN(Calculator!C8,MAX(0,B26-C26+F26)),0))</f>
        <v>0</v>
      </c>
      <c r="E26" s="20">
        <f t="shared" si="0"/>
        <v>7067.7919727509352</v>
      </c>
      <c r="F26" s="20">
        <f>IF(A26="","",IF(Calculator!C12="Beginning of Period",MAX(0,(B26-IF(J26="IO",Calculator!C22,Calculator!C21))*Calculator!C17),B26*Calculator!C17))</f>
        <v>5728.6060355166146</v>
      </c>
      <c r="G26" s="20">
        <f t="shared" si="1"/>
        <v>1339.1859372343206</v>
      </c>
      <c r="H26" s="20">
        <f t="shared" si="2"/>
        <v>980707.56300846708</v>
      </c>
      <c r="I26" s="20">
        <f t="shared" si="4"/>
        <v>86724.442599731134</v>
      </c>
      <c r="J26" s="21" t="str">
        <f>IF(A26="","",IF(A26&lt;=Calculator!C19,"IO","P&amp;I"))</f>
        <v>P&amp;I</v>
      </c>
    </row>
    <row r="27" spans="1:10" ht="15.75" customHeight="1" x14ac:dyDescent="0.25">
      <c r="A27" s="22">
        <f>IF(16&lt;=Calculator!C18,16,"")</f>
        <v>16</v>
      </c>
      <c r="B27" s="23">
        <f t="shared" si="3"/>
        <v>980707.56300846708</v>
      </c>
      <c r="C27" s="23">
        <f>IF(A27="","",IF(J27="IO",Calculator!C22,IF(B27&gt;0,MIN(Calculator!C21,B27*(1+Calculator!C17)),0)))</f>
        <v>7067.7919727509352</v>
      </c>
      <c r="D27" s="23">
        <f>IF(A27="","",IF(AND(J27="P&amp;I",A27&gt;=Calculator!C9),MIN(Calculator!C8,MAX(0,B27-C27+F27)),0))</f>
        <v>0</v>
      </c>
      <c r="E27" s="23">
        <f t="shared" si="0"/>
        <v>7067.7919727509352</v>
      </c>
      <c r="F27" s="23">
        <f>IF(A27="","",IF(Calculator!C12="Beginning of Period",MAX(0,(B27-IF(J27="IO",Calculator!C22,Calculator!C21))*Calculator!C17),B27*Calculator!C17))</f>
        <v>5720.7941175494143</v>
      </c>
      <c r="G27" s="23">
        <f t="shared" si="1"/>
        <v>1346.9978552015209</v>
      </c>
      <c r="H27" s="23">
        <f t="shared" si="2"/>
        <v>979360.5651532656</v>
      </c>
      <c r="I27" s="23">
        <f t="shared" si="4"/>
        <v>92445.236717280553</v>
      </c>
      <c r="J27" s="24" t="str">
        <f>IF(A27="","",IF(A27&lt;=Calculator!C19,"IO","P&amp;I"))</f>
        <v>P&amp;I</v>
      </c>
    </row>
    <row r="28" spans="1:10" ht="15.75" customHeight="1" x14ac:dyDescent="0.25">
      <c r="A28" s="19">
        <f>IF(17&lt;=Calculator!C18,17,"")</f>
        <v>17</v>
      </c>
      <c r="B28" s="20">
        <f t="shared" si="3"/>
        <v>979360.5651532656</v>
      </c>
      <c r="C28" s="20">
        <f>IF(A28="","",IF(J28="IO",Calculator!C22,IF(B28&gt;0,MIN(Calculator!C21,B28*(1+Calculator!C17)),0)))</f>
        <v>7067.7919727509352</v>
      </c>
      <c r="D28" s="20">
        <f>IF(A28="","",IF(AND(J28="P&amp;I",A28&gt;=Calculator!C9),MIN(Calculator!C8,MAX(0,B28-C28+F28)),0))</f>
        <v>0</v>
      </c>
      <c r="E28" s="20">
        <f t="shared" si="0"/>
        <v>7067.7919727509352</v>
      </c>
      <c r="F28" s="20">
        <f>IF(A28="","",IF(Calculator!C12="Beginning of Period",MAX(0,(B28-IF(J28="IO",Calculator!C22,Calculator!C21))*Calculator!C17),B28*Calculator!C17))</f>
        <v>5712.9366300607389</v>
      </c>
      <c r="G28" s="20">
        <f t="shared" si="1"/>
        <v>1354.8553426901963</v>
      </c>
      <c r="H28" s="20">
        <f t="shared" si="2"/>
        <v>978005.70981057535</v>
      </c>
      <c r="I28" s="20">
        <f t="shared" si="4"/>
        <v>98158.17334734129</v>
      </c>
      <c r="J28" s="21" t="str">
        <f>IF(A28="","",IF(A28&lt;=Calculator!C19,"IO","P&amp;I"))</f>
        <v>P&amp;I</v>
      </c>
    </row>
    <row r="29" spans="1:10" ht="15.75" customHeight="1" x14ac:dyDescent="0.25">
      <c r="A29" s="22">
        <f>IF(18&lt;=Calculator!C18,18,"")</f>
        <v>18</v>
      </c>
      <c r="B29" s="23">
        <f t="shared" si="3"/>
        <v>978005.70981057535</v>
      </c>
      <c r="C29" s="23">
        <f>IF(A29="","",IF(J29="IO",Calculator!C22,IF(B29&gt;0,MIN(Calculator!C21,B29*(1+Calculator!C17)),0)))</f>
        <v>7067.7919727509352</v>
      </c>
      <c r="D29" s="23">
        <f>IF(A29="","",IF(AND(J29="P&amp;I",A29&gt;=Calculator!C9),MIN(Calculator!C8,MAX(0,B29-C29+F29)),0))</f>
        <v>0</v>
      </c>
      <c r="E29" s="23">
        <f t="shared" si="0"/>
        <v>7067.7919727509352</v>
      </c>
      <c r="F29" s="23">
        <f>IF(A29="","",IF(Calculator!C12="Beginning of Period",MAX(0,(B29-IF(J29="IO",Calculator!C22,Calculator!C21))*Calculator!C17),B29*Calculator!C17))</f>
        <v>5705.0333072283793</v>
      </c>
      <c r="G29" s="23">
        <f t="shared" si="1"/>
        <v>1362.7586655225559</v>
      </c>
      <c r="H29" s="23">
        <f t="shared" si="2"/>
        <v>976642.95114505279</v>
      </c>
      <c r="I29" s="23">
        <f t="shared" si="4"/>
        <v>103863.20665456967</v>
      </c>
      <c r="J29" s="24" t="str">
        <f>IF(A29="","",IF(A29&lt;=Calculator!C19,"IO","P&amp;I"))</f>
        <v>P&amp;I</v>
      </c>
    </row>
    <row r="30" spans="1:10" ht="15.75" customHeight="1" x14ac:dyDescent="0.25">
      <c r="A30" s="19">
        <f>IF(19&lt;=Calculator!C18,19,"")</f>
        <v>19</v>
      </c>
      <c r="B30" s="20">
        <f t="shared" si="3"/>
        <v>976642.95114505279</v>
      </c>
      <c r="C30" s="20">
        <f>IF(A30="","",IF(J30="IO",Calculator!C22,IF(B30&gt;0,MIN(Calculator!C21,B30*(1+Calculator!C17)),0)))</f>
        <v>7067.7919727509352</v>
      </c>
      <c r="D30" s="20">
        <f>IF(A30="","",IF(AND(J30="P&amp;I",A30&gt;=Calculator!C9),MIN(Calculator!C8,MAX(0,B30-C30+F30)),0))</f>
        <v>0</v>
      </c>
      <c r="E30" s="20">
        <f t="shared" si="0"/>
        <v>7067.7919727509352</v>
      </c>
      <c r="F30" s="20">
        <f>IF(A30="","",IF(Calculator!C12="Beginning of Period",MAX(0,(B30-IF(J30="IO",Calculator!C22,Calculator!C21))*Calculator!C17),B30*Calculator!C17))</f>
        <v>5697.0838816794976</v>
      </c>
      <c r="G30" s="20">
        <f t="shared" si="1"/>
        <v>1370.7080910714376</v>
      </c>
      <c r="H30" s="20">
        <f t="shared" si="2"/>
        <v>975272.24305398134</v>
      </c>
      <c r="I30" s="20">
        <f t="shared" si="4"/>
        <v>109560.29053624917</v>
      </c>
      <c r="J30" s="21" t="str">
        <f>IF(A30="","",IF(A30&lt;=Calculator!C19,"IO","P&amp;I"))</f>
        <v>P&amp;I</v>
      </c>
    </row>
    <row r="31" spans="1:10" ht="15.75" customHeight="1" x14ac:dyDescent="0.25">
      <c r="A31" s="22">
        <f>IF(20&lt;=Calculator!C18,20,"")</f>
        <v>20</v>
      </c>
      <c r="B31" s="23">
        <f t="shared" si="3"/>
        <v>975272.24305398134</v>
      </c>
      <c r="C31" s="23">
        <f>IF(A31="","",IF(J31="IO",Calculator!C22,IF(B31&gt;0,MIN(Calculator!C21,B31*(1+Calculator!C17)),0)))</f>
        <v>7067.7919727509352</v>
      </c>
      <c r="D31" s="23">
        <f>IF(A31="","",IF(AND(J31="P&amp;I",A31&gt;=Calculator!C9),MIN(Calculator!C8,MAX(0,B31-C31+F31)),0))</f>
        <v>0</v>
      </c>
      <c r="E31" s="23">
        <f t="shared" si="0"/>
        <v>7067.7919727509352</v>
      </c>
      <c r="F31" s="23">
        <f>IF(A31="","",IF(Calculator!C12="Beginning of Period",MAX(0,(B31-IF(J31="IO",Calculator!C22,Calculator!C21))*Calculator!C17),B31*Calculator!C17))</f>
        <v>5689.0880844815811</v>
      </c>
      <c r="G31" s="23">
        <f t="shared" si="1"/>
        <v>1378.7038882693541</v>
      </c>
      <c r="H31" s="23">
        <f t="shared" si="2"/>
        <v>973893.53916571196</v>
      </c>
      <c r="I31" s="23">
        <f t="shared" si="4"/>
        <v>115249.37862073076</v>
      </c>
      <c r="J31" s="24" t="str">
        <f>IF(A31="","",IF(A31&lt;=Calculator!C19,"IO","P&amp;I"))</f>
        <v>P&amp;I</v>
      </c>
    </row>
    <row r="32" spans="1:10" ht="15.75" customHeight="1" x14ac:dyDescent="0.25">
      <c r="A32" s="19">
        <f>IF(21&lt;=Calculator!C18,21,"")</f>
        <v>21</v>
      </c>
      <c r="B32" s="20">
        <f t="shared" si="3"/>
        <v>973893.53916571196</v>
      </c>
      <c r="C32" s="20">
        <f>IF(A32="","",IF(J32="IO",Calculator!C22,IF(B32&gt;0,MIN(Calculator!C21,B32*(1+Calculator!C17)),0)))</f>
        <v>7067.7919727509352</v>
      </c>
      <c r="D32" s="20">
        <f>IF(A32="","",IF(AND(J32="P&amp;I",A32&gt;=Calculator!C9),MIN(Calculator!C8,MAX(0,B32-C32+F32)),0))</f>
        <v>0</v>
      </c>
      <c r="E32" s="20">
        <f t="shared" si="0"/>
        <v>7067.7919727509352</v>
      </c>
      <c r="F32" s="20">
        <f>IF(A32="","",IF(Calculator!C12="Beginning of Period",MAX(0,(B32-IF(J32="IO",Calculator!C22,Calculator!C21))*Calculator!C17),B32*Calculator!C17))</f>
        <v>5681.045645133343</v>
      </c>
      <c r="G32" s="20">
        <f t="shared" si="1"/>
        <v>1386.7463276175922</v>
      </c>
      <c r="H32" s="20">
        <f t="shared" si="2"/>
        <v>972506.79283809441</v>
      </c>
      <c r="I32" s="20">
        <f t="shared" si="4"/>
        <v>120930.4242658641</v>
      </c>
      <c r="J32" s="21" t="str">
        <f>IF(A32="","",IF(A32&lt;=Calculator!C19,"IO","P&amp;I"))</f>
        <v>P&amp;I</v>
      </c>
    </row>
    <row r="33" spans="1:10" ht="15.75" customHeight="1" x14ac:dyDescent="0.25">
      <c r="A33" s="22">
        <f>IF(22&lt;=Calculator!C18,22,"")</f>
        <v>22</v>
      </c>
      <c r="B33" s="23">
        <f t="shared" si="3"/>
        <v>972506.79283809441</v>
      </c>
      <c r="C33" s="23">
        <f>IF(A33="","",IF(J33="IO",Calculator!C22,IF(B33&gt;0,MIN(Calculator!C21,B33*(1+Calculator!C17)),0)))</f>
        <v>7067.7919727509352</v>
      </c>
      <c r="D33" s="23">
        <f>IF(A33="","",IF(AND(J33="P&amp;I",A33&gt;=Calculator!C9),MIN(Calculator!C8,MAX(0,B33-C33+F33)),0))</f>
        <v>0</v>
      </c>
      <c r="E33" s="23">
        <f t="shared" si="0"/>
        <v>7067.7919727509352</v>
      </c>
      <c r="F33" s="23">
        <f>IF(A33="","",IF(Calculator!C12="Beginning of Period",MAX(0,(B33-IF(J33="IO",Calculator!C22,Calculator!C21))*Calculator!C17),B33*Calculator!C17))</f>
        <v>5672.9562915555734</v>
      </c>
      <c r="G33" s="23">
        <f t="shared" si="1"/>
        <v>1394.8356811953618</v>
      </c>
      <c r="H33" s="23">
        <f t="shared" si="2"/>
        <v>971111.95715689904</v>
      </c>
      <c r="I33" s="23">
        <f t="shared" si="4"/>
        <v>126603.38055741967</v>
      </c>
      <c r="J33" s="24" t="str">
        <f>IF(A33="","",IF(A33&lt;=Calculator!C19,"IO","P&amp;I"))</f>
        <v>P&amp;I</v>
      </c>
    </row>
    <row r="34" spans="1:10" ht="15.75" customHeight="1" x14ac:dyDescent="0.25">
      <c r="A34" s="19">
        <f>IF(23&lt;=Calculator!C18,23,"")</f>
        <v>23</v>
      </c>
      <c r="B34" s="20">
        <f t="shared" si="3"/>
        <v>971111.95715689904</v>
      </c>
      <c r="C34" s="20">
        <f>IF(A34="","",IF(J34="IO",Calculator!C22,IF(B34&gt;0,MIN(Calculator!C21,B34*(1+Calculator!C17)),0)))</f>
        <v>7067.7919727509352</v>
      </c>
      <c r="D34" s="20">
        <f>IF(A34="","",IF(AND(J34="P&amp;I",A34&gt;=Calculator!C9),MIN(Calculator!C8,MAX(0,B34-C34+F34)),0))</f>
        <v>0</v>
      </c>
      <c r="E34" s="20">
        <f t="shared" si="0"/>
        <v>7067.7919727509352</v>
      </c>
      <c r="F34" s="20">
        <f>IF(A34="","",IF(Calculator!C12="Beginning of Period",MAX(0,(B34-IF(J34="IO",Calculator!C22,Calculator!C21))*Calculator!C17),B34*Calculator!C17))</f>
        <v>5664.8197500819342</v>
      </c>
      <c r="G34" s="20">
        <f t="shared" si="1"/>
        <v>1402.972222669001</v>
      </c>
      <c r="H34" s="20">
        <f t="shared" si="2"/>
        <v>969708.98493422999</v>
      </c>
      <c r="I34" s="20">
        <f t="shared" si="4"/>
        <v>132268.2003075016</v>
      </c>
      <c r="J34" s="21" t="str">
        <f>IF(A34="","",IF(A34&lt;=Calculator!C19,"IO","P&amp;I"))</f>
        <v>P&amp;I</v>
      </c>
    </row>
    <row r="35" spans="1:10" ht="15.75" customHeight="1" x14ac:dyDescent="0.25">
      <c r="A35" s="22">
        <f>IF(24&lt;=Calculator!C18,24,"")</f>
        <v>24</v>
      </c>
      <c r="B35" s="23">
        <f t="shared" si="3"/>
        <v>969708.98493422999</v>
      </c>
      <c r="C35" s="23">
        <f>IF(A35="","",IF(J35="IO",Calculator!C22,IF(B35&gt;0,MIN(Calculator!C21,B35*(1+Calculator!C17)),0)))</f>
        <v>7067.7919727509352</v>
      </c>
      <c r="D35" s="23">
        <f>IF(A35="","",IF(AND(J35="P&amp;I",A35&gt;=Calculator!C9),MIN(Calculator!C8,MAX(0,B35-C35+F35)),0))</f>
        <v>0</v>
      </c>
      <c r="E35" s="23">
        <f t="shared" si="0"/>
        <v>7067.7919727509352</v>
      </c>
      <c r="F35" s="23">
        <f>IF(A35="","",IF(Calculator!C12="Beginning of Period",MAX(0,(B35-IF(J35="IO",Calculator!C22,Calculator!C21))*Calculator!C17),B35*Calculator!C17))</f>
        <v>5656.6357454496983</v>
      </c>
      <c r="G35" s="23">
        <f t="shared" si="1"/>
        <v>1411.1562273012369</v>
      </c>
      <c r="H35" s="23">
        <f t="shared" si="2"/>
        <v>968297.82870692876</v>
      </c>
      <c r="I35" s="23">
        <f t="shared" si="4"/>
        <v>137924.83605295129</v>
      </c>
      <c r="J35" s="24" t="str">
        <f>IF(A35="","",IF(A35&lt;=Calculator!C19,"IO","P&amp;I"))</f>
        <v>P&amp;I</v>
      </c>
    </row>
    <row r="36" spans="1:10" ht="15.75" customHeight="1" x14ac:dyDescent="0.25">
      <c r="A36" s="19">
        <f>IF(25&lt;=Calculator!C18,25,"")</f>
        <v>25</v>
      </c>
      <c r="B36" s="20">
        <f t="shared" si="3"/>
        <v>968297.82870692876</v>
      </c>
      <c r="C36" s="20">
        <f>IF(A36="","",IF(J36="IO",Calculator!C22,IF(B36&gt;0,MIN(Calculator!C21,B36*(1+Calculator!C17)),0)))</f>
        <v>7067.7919727509352</v>
      </c>
      <c r="D36" s="20">
        <f>IF(A36="","",IF(AND(J36="P&amp;I",A36&gt;=Calculator!C9),MIN(Calculator!C8,MAX(0,B36-C36+F36)),0))</f>
        <v>0</v>
      </c>
      <c r="E36" s="20">
        <f t="shared" si="0"/>
        <v>7067.7919727509352</v>
      </c>
      <c r="F36" s="20">
        <f>IF(A36="","",IF(Calculator!C12="Beginning of Period",MAX(0,(B36-IF(J36="IO",Calculator!C22,Calculator!C21))*Calculator!C17),B36*Calculator!C17))</f>
        <v>5648.4040007904405</v>
      </c>
      <c r="G36" s="20">
        <f t="shared" si="1"/>
        <v>1419.3879719604947</v>
      </c>
      <c r="H36" s="20">
        <f t="shared" si="2"/>
        <v>966878.44073496829</v>
      </c>
      <c r="I36" s="20">
        <f t="shared" si="4"/>
        <v>143573.24005374173</v>
      </c>
      <c r="J36" s="21" t="str">
        <f>IF(A36="","",IF(A36&lt;=Calculator!C19,"IO","P&amp;I"))</f>
        <v>P&amp;I</v>
      </c>
    </row>
    <row r="37" spans="1:10" ht="15.75" customHeight="1" x14ac:dyDescent="0.25">
      <c r="A37" s="22">
        <f>IF(26&lt;=Calculator!C18,26,"")</f>
        <v>26</v>
      </c>
      <c r="B37" s="23">
        <f t="shared" si="3"/>
        <v>966878.44073496829</v>
      </c>
      <c r="C37" s="23">
        <f>IF(A37="","",IF(J37="IO",Calculator!C22,IF(B37&gt;0,MIN(Calculator!C21,B37*(1+Calculator!C17)),0)))</f>
        <v>7067.7919727509352</v>
      </c>
      <c r="D37" s="23">
        <f>IF(A37="","",IF(AND(J37="P&amp;I",A37&gt;=Calculator!C9),MIN(Calculator!C8,MAX(0,B37-C37+F37)),0))</f>
        <v>0</v>
      </c>
      <c r="E37" s="23">
        <f t="shared" si="0"/>
        <v>7067.7919727509352</v>
      </c>
      <c r="F37" s="23">
        <f>IF(A37="","",IF(Calculator!C12="Beginning of Period",MAX(0,(B37-IF(J37="IO",Calculator!C22,Calculator!C21))*Calculator!C17),B37*Calculator!C17))</f>
        <v>5640.124237620671</v>
      </c>
      <c r="G37" s="23">
        <f t="shared" si="1"/>
        <v>1427.6677351302642</v>
      </c>
      <c r="H37" s="23">
        <f t="shared" si="2"/>
        <v>965450.77299983799</v>
      </c>
      <c r="I37" s="23">
        <f t="shared" si="4"/>
        <v>149213.36429136241</v>
      </c>
      <c r="J37" s="24" t="str">
        <f>IF(A37="","",IF(A37&lt;=Calculator!C19,"IO","P&amp;I"))</f>
        <v>P&amp;I</v>
      </c>
    </row>
    <row r="38" spans="1:10" ht="15.75" customHeight="1" x14ac:dyDescent="0.25">
      <c r="A38" s="19">
        <f>IF(27&lt;=Calculator!C18,27,"")</f>
        <v>27</v>
      </c>
      <c r="B38" s="20">
        <f t="shared" si="3"/>
        <v>965450.77299983799</v>
      </c>
      <c r="C38" s="20">
        <f>IF(A38="","",IF(J38="IO",Calculator!C22,IF(B38&gt;0,MIN(Calculator!C21,B38*(1+Calculator!C17)),0)))</f>
        <v>7067.7919727509352</v>
      </c>
      <c r="D38" s="20">
        <f>IF(A38="","",IF(AND(J38="P&amp;I",A38&gt;=Calculator!C9),MIN(Calculator!C8,MAX(0,B38-C38+F38)),0))</f>
        <v>0</v>
      </c>
      <c r="E38" s="20">
        <f t="shared" si="0"/>
        <v>7067.7919727509352</v>
      </c>
      <c r="F38" s="20">
        <f>IF(A38="","",IF(Calculator!C12="Beginning of Period",MAX(0,(B38-IF(J38="IO",Calculator!C22,Calculator!C21))*Calculator!C17),B38*Calculator!C17))</f>
        <v>5631.7961758324109</v>
      </c>
      <c r="G38" s="20">
        <f t="shared" si="1"/>
        <v>1435.9957969185243</v>
      </c>
      <c r="H38" s="20">
        <f t="shared" si="2"/>
        <v>964014.77720291947</v>
      </c>
      <c r="I38" s="20">
        <f t="shared" si="4"/>
        <v>154845.16046719483</v>
      </c>
      <c r="J38" s="21" t="str">
        <f>IF(A38="","",IF(A38&lt;=Calculator!C19,"IO","P&amp;I"))</f>
        <v>P&amp;I</v>
      </c>
    </row>
    <row r="39" spans="1:10" ht="15.75" customHeight="1" x14ac:dyDescent="0.25">
      <c r="A39" s="22">
        <f>IF(28&lt;=Calculator!C18,28,"")</f>
        <v>28</v>
      </c>
      <c r="B39" s="23">
        <f t="shared" si="3"/>
        <v>964014.77720291947</v>
      </c>
      <c r="C39" s="23">
        <f>IF(A39="","",IF(J39="IO",Calculator!C22,IF(B39&gt;0,MIN(Calculator!C21,B39*(1+Calculator!C17)),0)))</f>
        <v>7067.7919727509352</v>
      </c>
      <c r="D39" s="23">
        <f>IF(A39="","",IF(AND(J39="P&amp;I",A39&gt;=Calculator!C9),MIN(Calculator!C8,MAX(0,B39-C39+F39)),0))</f>
        <v>0</v>
      </c>
      <c r="E39" s="23">
        <f t="shared" si="0"/>
        <v>7067.7919727509352</v>
      </c>
      <c r="F39" s="23">
        <f>IF(A39="","",IF(Calculator!C12="Beginning of Period",MAX(0,(B39-IF(J39="IO",Calculator!C22,Calculator!C21))*Calculator!C17),B39*Calculator!C17))</f>
        <v>5623.4195336837201</v>
      </c>
      <c r="G39" s="23">
        <f t="shared" si="1"/>
        <v>1444.3724390672151</v>
      </c>
      <c r="H39" s="23">
        <f t="shared" si="2"/>
        <v>962570.40476385225</v>
      </c>
      <c r="I39" s="23">
        <f t="shared" si="4"/>
        <v>160468.58000087854</v>
      </c>
      <c r="J39" s="24" t="str">
        <f>IF(A39="","",IF(A39&lt;=Calculator!C19,"IO","P&amp;I"))</f>
        <v>P&amp;I</v>
      </c>
    </row>
    <row r="40" spans="1:10" ht="15.75" customHeight="1" x14ac:dyDescent="0.25">
      <c r="A40" s="19">
        <f>IF(29&lt;=Calculator!C18,29,"")</f>
        <v>29</v>
      </c>
      <c r="B40" s="20">
        <f t="shared" si="3"/>
        <v>962570.40476385225</v>
      </c>
      <c r="C40" s="20">
        <f>IF(A40="","",IF(J40="IO",Calculator!C22,IF(B40&gt;0,MIN(Calculator!C21,B40*(1+Calculator!C17)),0)))</f>
        <v>7067.7919727509352</v>
      </c>
      <c r="D40" s="20">
        <f>IF(A40="","",IF(AND(J40="P&amp;I",A40&gt;=Calculator!C9),MIN(Calculator!C8,MAX(0,B40-C40+F40)),0))</f>
        <v>0</v>
      </c>
      <c r="E40" s="20">
        <f t="shared" si="0"/>
        <v>7067.7919727509352</v>
      </c>
      <c r="F40" s="20">
        <f>IF(A40="","",IF(Calculator!C12="Beginning of Period",MAX(0,(B40-IF(J40="IO",Calculator!C22,Calculator!C21))*Calculator!C17),B40*Calculator!C17))</f>
        <v>5614.994027789161</v>
      </c>
      <c r="G40" s="20">
        <f t="shared" si="1"/>
        <v>1452.7979449617742</v>
      </c>
      <c r="H40" s="20">
        <f t="shared" si="2"/>
        <v>961117.60681889043</v>
      </c>
      <c r="I40" s="20">
        <f t="shared" si="4"/>
        <v>166083.5740286677</v>
      </c>
      <c r="J40" s="21" t="str">
        <f>IF(A40="","",IF(A40&lt;=Calculator!C19,"IO","P&amp;I"))</f>
        <v>P&amp;I</v>
      </c>
    </row>
    <row r="41" spans="1:10" ht="15.75" customHeight="1" x14ac:dyDescent="0.25">
      <c r="A41" s="22">
        <f>IF(30&lt;=Calculator!C18,30,"")</f>
        <v>30</v>
      </c>
      <c r="B41" s="23">
        <f t="shared" si="3"/>
        <v>961117.60681889043</v>
      </c>
      <c r="C41" s="23">
        <f>IF(A41="","",IF(J41="IO",Calculator!C22,IF(B41&gt;0,MIN(Calculator!C21,B41*(1+Calculator!C17)),0)))</f>
        <v>7067.7919727509352</v>
      </c>
      <c r="D41" s="23">
        <f>IF(A41="","",IF(AND(J41="P&amp;I",A41&gt;=Calculator!C9),MIN(Calculator!C8,MAX(0,B41-C41+F41)),0))</f>
        <v>0</v>
      </c>
      <c r="E41" s="23">
        <f t="shared" si="0"/>
        <v>7067.7919727509352</v>
      </c>
      <c r="F41" s="23">
        <f>IF(A41="","",IF(Calculator!C12="Beginning of Period",MAX(0,(B41-IF(J41="IO",Calculator!C22,Calculator!C21))*Calculator!C17),B41*Calculator!C17))</f>
        <v>5606.5193731102172</v>
      </c>
      <c r="G41" s="23">
        <f t="shared" si="1"/>
        <v>1461.272599640718</v>
      </c>
      <c r="H41" s="23">
        <f t="shared" si="2"/>
        <v>959656.33421924966</v>
      </c>
      <c r="I41" s="23">
        <f t="shared" si="4"/>
        <v>171690.09340177791</v>
      </c>
      <c r="J41" s="24" t="str">
        <f>IF(A41="","",IF(A41&lt;=Calculator!C19,"IO","P&amp;I"))</f>
        <v>P&amp;I</v>
      </c>
    </row>
    <row r="42" spans="1:10" ht="15.75" customHeight="1" x14ac:dyDescent="0.25">
      <c r="A42" s="19">
        <f>IF(31&lt;=Calculator!C18,31,"")</f>
        <v>31</v>
      </c>
      <c r="B42" s="20">
        <f t="shared" si="3"/>
        <v>959656.33421924966</v>
      </c>
      <c r="C42" s="20">
        <f>IF(A42="","",IF(J42="IO",Calculator!C22,IF(B42&gt;0,MIN(Calculator!C21,B42*(1+Calculator!C17)),0)))</f>
        <v>7067.7919727509352</v>
      </c>
      <c r="D42" s="20">
        <f>IF(A42="","",IF(AND(J42="P&amp;I",A42&gt;=Calculator!C9),MIN(Calculator!C8,MAX(0,B42-C42+F42)),0))</f>
        <v>0</v>
      </c>
      <c r="E42" s="20">
        <f t="shared" si="0"/>
        <v>7067.7919727509352</v>
      </c>
      <c r="F42" s="20">
        <f>IF(A42="","",IF(Calculator!C12="Beginning of Period",MAX(0,(B42-IF(J42="IO",Calculator!C22,Calculator!C21))*Calculator!C17),B42*Calculator!C17))</f>
        <v>5597.9952829456461</v>
      </c>
      <c r="G42" s="20">
        <f t="shared" si="1"/>
        <v>1469.7966898052891</v>
      </c>
      <c r="H42" s="20">
        <f t="shared" si="2"/>
        <v>958186.53752944432</v>
      </c>
      <c r="I42" s="20">
        <f t="shared" si="4"/>
        <v>177288.08868472357</v>
      </c>
      <c r="J42" s="21" t="str">
        <f>IF(A42="","",IF(A42&lt;=Calculator!C19,"IO","P&amp;I"))</f>
        <v>P&amp;I</v>
      </c>
    </row>
    <row r="43" spans="1:10" ht="15.75" customHeight="1" x14ac:dyDescent="0.25">
      <c r="A43" s="22">
        <f>IF(32&lt;=Calculator!C18,32,"")</f>
        <v>32</v>
      </c>
      <c r="B43" s="23">
        <f t="shared" si="3"/>
        <v>958186.53752944432</v>
      </c>
      <c r="C43" s="23">
        <f>IF(A43="","",IF(J43="IO",Calculator!C22,IF(B43&gt;0,MIN(Calculator!C21,B43*(1+Calculator!C17)),0)))</f>
        <v>7067.7919727509352</v>
      </c>
      <c r="D43" s="23">
        <f>IF(A43="","",IF(AND(J43="P&amp;I",A43&gt;=Calculator!C9),MIN(Calculator!C8,MAX(0,B43-C43+F43)),0))</f>
        <v>0</v>
      </c>
      <c r="E43" s="23">
        <f t="shared" si="0"/>
        <v>7067.7919727509352</v>
      </c>
      <c r="F43" s="23">
        <f>IF(A43="","",IF(Calculator!C12="Beginning of Period",MAX(0,(B43-IF(J43="IO",Calculator!C22,Calculator!C21))*Calculator!C17),B43*Calculator!C17))</f>
        <v>5589.4214689217815</v>
      </c>
      <c r="G43" s="23">
        <f t="shared" si="1"/>
        <v>1478.3705038291537</v>
      </c>
      <c r="H43" s="23">
        <f t="shared" si="2"/>
        <v>956708.16702561511</v>
      </c>
      <c r="I43" s="23">
        <f t="shared" si="4"/>
        <v>182877.51015364536</v>
      </c>
      <c r="J43" s="24" t="str">
        <f>IF(A43="","",IF(A43&lt;=Calculator!C19,"IO","P&amp;I"))</f>
        <v>P&amp;I</v>
      </c>
    </row>
    <row r="44" spans="1:10" ht="15.75" customHeight="1" x14ac:dyDescent="0.25">
      <c r="A44" s="19">
        <f>IF(33&lt;=Calculator!C18,33,"")</f>
        <v>33</v>
      </c>
      <c r="B44" s="20">
        <f t="shared" si="3"/>
        <v>956708.16702561511</v>
      </c>
      <c r="C44" s="20">
        <f>IF(A44="","",IF(J44="IO",Calculator!C22,IF(B44&gt;0,MIN(Calculator!C21,B44*(1+Calculator!C17)),0)))</f>
        <v>7067.7919727509352</v>
      </c>
      <c r="D44" s="20">
        <f>IF(A44="","",IF(AND(J44="P&amp;I",A44&gt;=Calculator!C9),MIN(Calculator!C8,MAX(0,B44-C44+F44)),0))</f>
        <v>0</v>
      </c>
      <c r="E44" s="20">
        <f t="shared" si="0"/>
        <v>7067.7919727509352</v>
      </c>
      <c r="F44" s="20">
        <f>IF(A44="","",IF(Calculator!C12="Beginning of Period",MAX(0,(B44-IF(J44="IO",Calculator!C22,Calculator!C21))*Calculator!C17),B44*Calculator!C17))</f>
        <v>5580.7976409827779</v>
      </c>
      <c r="G44" s="20">
        <f t="shared" si="1"/>
        <v>1486.9943317681573</v>
      </c>
      <c r="H44" s="20">
        <f t="shared" si="2"/>
        <v>955221.17269384698</v>
      </c>
      <c r="I44" s="20">
        <f t="shared" si="4"/>
        <v>188458.30779462814</v>
      </c>
      <c r="J44" s="21" t="str">
        <f>IF(A44="","",IF(A44&lt;=Calculator!C19,"IO","P&amp;I"))</f>
        <v>P&amp;I</v>
      </c>
    </row>
    <row r="45" spans="1:10" ht="15.75" customHeight="1" x14ac:dyDescent="0.25">
      <c r="A45" s="22">
        <f>IF(34&lt;=Calculator!C18,34,"")</f>
        <v>34</v>
      </c>
      <c r="B45" s="23">
        <f t="shared" si="3"/>
        <v>955221.17269384698</v>
      </c>
      <c r="C45" s="23">
        <f>IF(A45="","",IF(J45="IO",Calculator!C22,IF(B45&gt;0,MIN(Calculator!C21,B45*(1+Calculator!C17)),0)))</f>
        <v>7067.7919727509352</v>
      </c>
      <c r="D45" s="23">
        <f>IF(A45="","",IF(AND(J45="P&amp;I",A45&gt;=Calculator!C9),MIN(Calculator!C8,MAX(0,B45-C45+F45)),0))</f>
        <v>0</v>
      </c>
      <c r="E45" s="23">
        <f t="shared" si="0"/>
        <v>7067.7919727509352</v>
      </c>
      <c r="F45" s="23">
        <f>IF(A45="","",IF(Calculator!C12="Beginning of Period",MAX(0,(B45-IF(J45="IO",Calculator!C22,Calculator!C21))*Calculator!C17),B45*Calculator!C17))</f>
        <v>5572.1235073807966</v>
      </c>
      <c r="G45" s="23">
        <f t="shared" si="1"/>
        <v>1495.6684653701386</v>
      </c>
      <c r="H45" s="23">
        <f t="shared" si="2"/>
        <v>953725.50422847678</v>
      </c>
      <c r="I45" s="23">
        <f t="shared" si="4"/>
        <v>194030.43130200895</v>
      </c>
      <c r="J45" s="24" t="str">
        <f>IF(A45="","",IF(A45&lt;=Calculator!C19,"IO","P&amp;I"))</f>
        <v>P&amp;I</v>
      </c>
    </row>
    <row r="46" spans="1:10" ht="15.75" customHeight="1" x14ac:dyDescent="0.25">
      <c r="A46" s="19">
        <f>IF(35&lt;=Calculator!C18,35,"")</f>
        <v>35</v>
      </c>
      <c r="B46" s="20">
        <f t="shared" si="3"/>
        <v>953725.50422847678</v>
      </c>
      <c r="C46" s="20">
        <f>IF(A46="","",IF(J46="IO",Calculator!C22,IF(B46&gt;0,MIN(Calculator!C21,B46*(1+Calculator!C17)),0)))</f>
        <v>7067.7919727509352</v>
      </c>
      <c r="D46" s="20">
        <f>IF(A46="","",IF(AND(J46="P&amp;I",A46&gt;=Calculator!C9),MIN(Calculator!C8,MAX(0,B46-C46+F46)),0))</f>
        <v>0</v>
      </c>
      <c r="E46" s="20">
        <f t="shared" si="0"/>
        <v>7067.7919727509352</v>
      </c>
      <c r="F46" s="20">
        <f>IF(A46="","",IF(Calculator!C12="Beginning of Period",MAX(0,(B46-IF(J46="IO",Calculator!C22,Calculator!C21))*Calculator!C17),B46*Calculator!C17))</f>
        <v>5563.3987746661369</v>
      </c>
      <c r="G46" s="20">
        <f t="shared" si="1"/>
        <v>1504.3931980847983</v>
      </c>
      <c r="H46" s="20">
        <f t="shared" si="2"/>
        <v>952221.111030392</v>
      </c>
      <c r="I46" s="20">
        <f t="shared" si="4"/>
        <v>199593.83007667508</v>
      </c>
      <c r="J46" s="21" t="str">
        <f>IF(A46="","",IF(A46&lt;=Calculator!C19,"IO","P&amp;I"))</f>
        <v>P&amp;I</v>
      </c>
    </row>
    <row r="47" spans="1:10" ht="15.75" customHeight="1" x14ac:dyDescent="0.25">
      <c r="A47" s="22">
        <f>IF(36&lt;=Calculator!C18,36,"")</f>
        <v>36</v>
      </c>
      <c r="B47" s="23">
        <f t="shared" si="3"/>
        <v>952221.111030392</v>
      </c>
      <c r="C47" s="23">
        <f>IF(A47="","",IF(J47="IO",Calculator!C22,IF(B47&gt;0,MIN(Calculator!C21,B47*(1+Calculator!C17)),0)))</f>
        <v>7067.7919727509352</v>
      </c>
      <c r="D47" s="23">
        <f>IF(A47="","",IF(AND(J47="P&amp;I",A47&gt;=Calculator!C9),MIN(Calculator!C8,MAX(0,B47-C47+F47)),0))</f>
        <v>0</v>
      </c>
      <c r="E47" s="23">
        <f t="shared" si="0"/>
        <v>7067.7919727509352</v>
      </c>
      <c r="F47" s="23">
        <f>IF(A47="","",IF(Calculator!C12="Beginning of Period",MAX(0,(B47-IF(J47="IO",Calculator!C22,Calculator!C21))*Calculator!C17),B47*Calculator!C17))</f>
        <v>5554.6231476773091</v>
      </c>
      <c r="G47" s="23">
        <f t="shared" si="1"/>
        <v>1513.1688250736261</v>
      </c>
      <c r="H47" s="23">
        <f t="shared" si="2"/>
        <v>950707.94220531837</v>
      </c>
      <c r="I47" s="23">
        <f t="shared" si="4"/>
        <v>205148.45322435239</v>
      </c>
      <c r="J47" s="24" t="str">
        <f>IF(A47="","",IF(A47&lt;=Calculator!C19,"IO","P&amp;I"))</f>
        <v>P&amp;I</v>
      </c>
    </row>
    <row r="48" spans="1:10" ht="15.75" customHeight="1" x14ac:dyDescent="0.25">
      <c r="A48" s="19">
        <f>IF(37&lt;=Calculator!C18,37,"")</f>
        <v>37</v>
      </c>
      <c r="B48" s="20">
        <f t="shared" si="3"/>
        <v>950707.94220531837</v>
      </c>
      <c r="C48" s="20">
        <f>IF(A48="","",IF(J48="IO",Calculator!C22,IF(B48&gt;0,MIN(Calculator!C21,B48*(1+Calculator!C17)),0)))</f>
        <v>7067.7919727509352</v>
      </c>
      <c r="D48" s="20">
        <f>IF(A48="","",IF(AND(J48="P&amp;I",A48&gt;=Calculator!C9),MIN(Calculator!C8,MAX(0,B48-C48+F48)),0))</f>
        <v>0</v>
      </c>
      <c r="E48" s="20">
        <f t="shared" si="0"/>
        <v>7067.7919727509352</v>
      </c>
      <c r="F48" s="20">
        <f>IF(A48="","",IF(Calculator!C12="Beginning of Period",MAX(0,(B48-IF(J48="IO",Calculator!C22,Calculator!C21))*Calculator!C17),B48*Calculator!C17))</f>
        <v>5545.7963295310465</v>
      </c>
      <c r="G48" s="20">
        <f t="shared" si="1"/>
        <v>1521.9956432198887</v>
      </c>
      <c r="H48" s="20">
        <f t="shared" si="2"/>
        <v>949185.94656209846</v>
      </c>
      <c r="I48" s="20">
        <f t="shared" si="4"/>
        <v>210694.24955388342</v>
      </c>
      <c r="J48" s="21" t="str">
        <f>IF(A48="","",IF(A48&lt;=Calculator!C19,"IO","P&amp;I"))</f>
        <v>P&amp;I</v>
      </c>
    </row>
    <row r="49" spans="1:10" ht="15.75" customHeight="1" x14ac:dyDescent="0.25">
      <c r="A49" s="22">
        <f>IF(38&lt;=Calculator!C18,38,"")</f>
        <v>38</v>
      </c>
      <c r="B49" s="23">
        <f t="shared" si="3"/>
        <v>949185.94656209846</v>
      </c>
      <c r="C49" s="23">
        <f>IF(A49="","",IF(J49="IO",Calculator!C22,IF(B49&gt;0,MIN(Calculator!C21,B49*(1+Calculator!C17)),0)))</f>
        <v>7067.7919727509352</v>
      </c>
      <c r="D49" s="23">
        <f>IF(A49="","",IF(AND(J49="P&amp;I",A49&gt;=Calculator!C9),MIN(Calculator!C8,MAX(0,B49-C49+F49)),0))</f>
        <v>0</v>
      </c>
      <c r="E49" s="23">
        <f t="shared" si="0"/>
        <v>7067.7919727509352</v>
      </c>
      <c r="F49" s="23">
        <f>IF(A49="","",IF(Calculator!C12="Beginning of Period",MAX(0,(B49-IF(J49="IO",Calculator!C22,Calculator!C21))*Calculator!C17),B49*Calculator!C17))</f>
        <v>5536.9180216122631</v>
      </c>
      <c r="G49" s="23">
        <f t="shared" si="1"/>
        <v>1530.8739511386721</v>
      </c>
      <c r="H49" s="23">
        <f t="shared" si="2"/>
        <v>947655.07261095976</v>
      </c>
      <c r="I49" s="23">
        <f t="shared" si="4"/>
        <v>216231.1675754957</v>
      </c>
      <c r="J49" s="24" t="str">
        <f>IF(A49="","",IF(A49&lt;=Calculator!C19,"IO","P&amp;I"))</f>
        <v>P&amp;I</v>
      </c>
    </row>
    <row r="50" spans="1:10" ht="15.75" customHeight="1" x14ac:dyDescent="0.25">
      <c r="A50" s="19">
        <f>IF(39&lt;=Calculator!C18,39,"")</f>
        <v>39</v>
      </c>
      <c r="B50" s="20">
        <f t="shared" si="3"/>
        <v>947655.07261095976</v>
      </c>
      <c r="C50" s="20">
        <f>IF(A50="","",IF(J50="IO",Calculator!C22,IF(B50&gt;0,MIN(Calculator!C21,B50*(1+Calculator!C17)),0)))</f>
        <v>7067.7919727509352</v>
      </c>
      <c r="D50" s="20">
        <f>IF(A50="","",IF(AND(J50="P&amp;I",A50&gt;=Calculator!C9),MIN(Calculator!C8,MAX(0,B50-C50+F50)),0))</f>
        <v>0</v>
      </c>
      <c r="E50" s="20">
        <f t="shared" si="0"/>
        <v>7067.7919727509352</v>
      </c>
      <c r="F50" s="20">
        <f>IF(A50="","",IF(Calculator!C12="Beginning of Period",MAX(0,(B50-IF(J50="IO",Calculator!C22,Calculator!C21))*Calculator!C17),B50*Calculator!C17))</f>
        <v>5527.9879235639546</v>
      </c>
      <c r="G50" s="20">
        <f t="shared" si="1"/>
        <v>1539.8040491869806</v>
      </c>
      <c r="H50" s="20">
        <f t="shared" si="2"/>
        <v>946115.26856177277</v>
      </c>
      <c r="I50" s="20">
        <f t="shared" si="4"/>
        <v>221759.15549905965</v>
      </c>
      <c r="J50" s="21" t="str">
        <f>IF(A50="","",IF(A50&lt;=Calculator!C19,"IO","P&amp;I"))</f>
        <v>P&amp;I</v>
      </c>
    </row>
    <row r="51" spans="1:10" ht="15.75" customHeight="1" x14ac:dyDescent="0.25">
      <c r="A51" s="22">
        <f>IF(40&lt;=Calculator!C18,40,"")</f>
        <v>40</v>
      </c>
      <c r="B51" s="23">
        <f t="shared" si="3"/>
        <v>946115.26856177277</v>
      </c>
      <c r="C51" s="23">
        <f>IF(A51="","",IF(J51="IO",Calculator!C22,IF(B51&gt;0,MIN(Calculator!C21,B51*(1+Calculator!C17)),0)))</f>
        <v>7067.7919727509352</v>
      </c>
      <c r="D51" s="23">
        <f>IF(A51="","",IF(AND(J51="P&amp;I",A51&gt;=Calculator!C9),MIN(Calculator!C8,MAX(0,B51-C51+F51)),0))</f>
        <v>0</v>
      </c>
      <c r="E51" s="23">
        <f t="shared" si="0"/>
        <v>7067.7919727509352</v>
      </c>
      <c r="F51" s="23">
        <f>IF(A51="","",IF(Calculator!C12="Beginning of Period",MAX(0,(B51-IF(J51="IO",Calculator!C22,Calculator!C21))*Calculator!C17),B51*Calculator!C17))</f>
        <v>5519.0057332770302</v>
      </c>
      <c r="G51" s="23">
        <f t="shared" si="1"/>
        <v>1548.786239473905</v>
      </c>
      <c r="H51" s="23">
        <f t="shared" si="2"/>
        <v>944566.48232229892</v>
      </c>
      <c r="I51" s="23">
        <f t="shared" si="4"/>
        <v>227278.16123233669</v>
      </c>
      <c r="J51" s="24" t="str">
        <f>IF(A51="","",IF(A51&lt;=Calculator!C19,"IO","P&amp;I"))</f>
        <v>P&amp;I</v>
      </c>
    </row>
    <row r="52" spans="1:10" ht="15.75" customHeight="1" x14ac:dyDescent="0.25">
      <c r="A52" s="19">
        <f>IF(41&lt;=Calculator!C18,41,"")</f>
        <v>41</v>
      </c>
      <c r="B52" s="20">
        <f t="shared" si="3"/>
        <v>944566.48232229892</v>
      </c>
      <c r="C52" s="20">
        <f>IF(A52="","",IF(J52="IO",Calculator!C22,IF(B52&gt;0,MIN(Calculator!C21,B52*(1+Calculator!C17)),0)))</f>
        <v>7067.7919727509352</v>
      </c>
      <c r="D52" s="20">
        <f>IF(A52="","",IF(AND(J52="P&amp;I",A52&gt;=Calculator!C9),MIN(Calculator!C8,MAX(0,B52-C52+F52)),0))</f>
        <v>0</v>
      </c>
      <c r="E52" s="20">
        <f t="shared" si="0"/>
        <v>7067.7919727509352</v>
      </c>
      <c r="F52" s="20">
        <f>IF(A52="","",IF(Calculator!C12="Beginning of Period",MAX(0,(B52-IF(J52="IO",Calculator!C22,Calculator!C21))*Calculator!C17),B52*Calculator!C17))</f>
        <v>5509.9711468800997</v>
      </c>
      <c r="G52" s="20">
        <f t="shared" si="1"/>
        <v>1557.8208258708355</v>
      </c>
      <c r="H52" s="20">
        <f t="shared" si="2"/>
        <v>943008.66149642807</v>
      </c>
      <c r="I52" s="20">
        <f t="shared" si="4"/>
        <v>232788.13237921678</v>
      </c>
      <c r="J52" s="21" t="str">
        <f>IF(A52="","",IF(A52&lt;=Calculator!C19,"IO","P&amp;I"))</f>
        <v>P&amp;I</v>
      </c>
    </row>
    <row r="53" spans="1:10" ht="15.75" customHeight="1" x14ac:dyDescent="0.25">
      <c r="A53" s="22">
        <f>IF(42&lt;=Calculator!C18,42,"")</f>
        <v>42</v>
      </c>
      <c r="B53" s="23">
        <f t="shared" si="3"/>
        <v>943008.66149642807</v>
      </c>
      <c r="C53" s="23">
        <f>IF(A53="","",IF(J53="IO",Calculator!C22,IF(B53&gt;0,MIN(Calculator!C21,B53*(1+Calculator!C17)),0)))</f>
        <v>7067.7919727509352</v>
      </c>
      <c r="D53" s="23">
        <f>IF(A53="","",IF(AND(J53="P&amp;I",A53&gt;=Calculator!C9),MIN(Calculator!C8,MAX(0,B53-C53+F53)),0))</f>
        <v>0</v>
      </c>
      <c r="E53" s="23">
        <f t="shared" si="0"/>
        <v>7067.7919727509352</v>
      </c>
      <c r="F53" s="23">
        <f>IF(A53="","",IF(Calculator!C12="Beginning of Period",MAX(0,(B53-IF(J53="IO",Calculator!C22,Calculator!C21))*Calculator!C17),B53*Calculator!C17))</f>
        <v>5500.8838587291857</v>
      </c>
      <c r="G53" s="23">
        <f t="shared" si="1"/>
        <v>1566.9081140217495</v>
      </c>
      <c r="H53" s="23">
        <f t="shared" si="2"/>
        <v>941441.75338240631</v>
      </c>
      <c r="I53" s="23">
        <f t="shared" si="4"/>
        <v>238289.01623794597</v>
      </c>
      <c r="J53" s="24" t="str">
        <f>IF(A53="","",IF(A53&lt;=Calculator!C19,"IO","P&amp;I"))</f>
        <v>P&amp;I</v>
      </c>
    </row>
    <row r="54" spans="1:10" ht="15.75" customHeight="1" x14ac:dyDescent="0.25">
      <c r="A54" s="19">
        <f>IF(43&lt;=Calculator!C18,43,"")</f>
        <v>43</v>
      </c>
      <c r="B54" s="20">
        <f t="shared" si="3"/>
        <v>941441.75338240631</v>
      </c>
      <c r="C54" s="20">
        <f>IF(A54="","",IF(J54="IO",Calculator!C22,IF(B54&gt;0,MIN(Calculator!C21,B54*(1+Calculator!C17)),0)))</f>
        <v>7067.7919727509352</v>
      </c>
      <c r="D54" s="20">
        <f>IF(A54="","",IF(AND(J54="P&amp;I",A54&gt;=Calculator!C9),MIN(Calculator!C8,MAX(0,B54-C54+F54)),0))</f>
        <v>0</v>
      </c>
      <c r="E54" s="20">
        <f t="shared" si="0"/>
        <v>7067.7919727509352</v>
      </c>
      <c r="F54" s="20">
        <f>IF(A54="","",IF(Calculator!C12="Beginning of Period",MAX(0,(B54-IF(J54="IO",Calculator!C22,Calculator!C21))*Calculator!C17),B54*Calculator!C17))</f>
        <v>5491.7435613973921</v>
      </c>
      <c r="G54" s="20">
        <f t="shared" si="1"/>
        <v>1576.0484113535431</v>
      </c>
      <c r="H54" s="20">
        <f t="shared" si="2"/>
        <v>939865.70497105282</v>
      </c>
      <c r="I54" s="20">
        <f t="shared" si="4"/>
        <v>243780.75979934336</v>
      </c>
      <c r="J54" s="21" t="str">
        <f>IF(A54="","",IF(A54&lt;=Calculator!C19,"IO","P&amp;I"))</f>
        <v>P&amp;I</v>
      </c>
    </row>
    <row r="55" spans="1:10" ht="15.75" customHeight="1" x14ac:dyDescent="0.25">
      <c r="A55" s="22">
        <f>IF(44&lt;=Calculator!C18,44,"")</f>
        <v>44</v>
      </c>
      <c r="B55" s="23">
        <f t="shared" si="3"/>
        <v>939865.70497105282</v>
      </c>
      <c r="C55" s="23">
        <f>IF(A55="","",IF(J55="IO",Calculator!C22,IF(B55&gt;0,MIN(Calculator!C21,B55*(1+Calculator!C17)),0)))</f>
        <v>7067.7919727509352</v>
      </c>
      <c r="D55" s="23">
        <f>IF(A55="","",IF(AND(J55="P&amp;I",A55&gt;=Calculator!C9),MIN(Calculator!C8,MAX(0,B55-C55+F55)),0))</f>
        <v>0</v>
      </c>
      <c r="E55" s="23">
        <f t="shared" si="0"/>
        <v>7067.7919727509352</v>
      </c>
      <c r="F55" s="23">
        <f>IF(A55="","",IF(Calculator!C12="Beginning of Period",MAX(0,(B55-IF(J55="IO",Calculator!C22,Calculator!C21))*Calculator!C17),B55*Calculator!C17))</f>
        <v>5482.5499456644975</v>
      </c>
      <c r="G55" s="23">
        <f t="shared" si="1"/>
        <v>1585.2420270864377</v>
      </c>
      <c r="H55" s="23">
        <f t="shared" si="2"/>
        <v>938280.46294396638</v>
      </c>
      <c r="I55" s="23">
        <f t="shared" si="4"/>
        <v>249263.30974500786</v>
      </c>
      <c r="J55" s="24" t="str">
        <f>IF(A55="","",IF(A55&lt;=Calculator!C19,"IO","P&amp;I"))</f>
        <v>P&amp;I</v>
      </c>
    </row>
    <row r="56" spans="1:10" ht="15.75" customHeight="1" x14ac:dyDescent="0.25">
      <c r="A56" s="19">
        <f>IF(45&lt;=Calculator!C18,45,"")</f>
        <v>45</v>
      </c>
      <c r="B56" s="20">
        <f t="shared" si="3"/>
        <v>938280.46294396638</v>
      </c>
      <c r="C56" s="20">
        <f>IF(A56="","",IF(J56="IO",Calculator!C22,IF(B56&gt;0,MIN(Calculator!C21,B56*(1+Calculator!C17)),0)))</f>
        <v>7067.7919727509352</v>
      </c>
      <c r="D56" s="20">
        <f>IF(A56="","",IF(AND(J56="P&amp;I",A56&gt;=Calculator!C9),MIN(Calculator!C8,MAX(0,B56-C56+F56)),0))</f>
        <v>0</v>
      </c>
      <c r="E56" s="20">
        <f t="shared" si="0"/>
        <v>7067.7919727509352</v>
      </c>
      <c r="F56" s="20">
        <f>IF(A56="","",IF(Calculator!C12="Beginning of Period",MAX(0,(B56-IF(J56="IO",Calculator!C22,Calculator!C21))*Calculator!C17),B56*Calculator!C17))</f>
        <v>5473.3027005064932</v>
      </c>
      <c r="G56" s="20">
        <f t="shared" si="1"/>
        <v>1594.489272244442</v>
      </c>
      <c r="H56" s="20">
        <f t="shared" si="2"/>
        <v>936685.97367172199</v>
      </c>
      <c r="I56" s="20">
        <f t="shared" si="4"/>
        <v>254736.61244551436</v>
      </c>
      <c r="J56" s="21" t="str">
        <f>IF(A56="","",IF(A56&lt;=Calculator!C19,"IO","P&amp;I"))</f>
        <v>P&amp;I</v>
      </c>
    </row>
    <row r="57" spans="1:10" ht="15.75" customHeight="1" x14ac:dyDescent="0.25">
      <c r="A57" s="22">
        <f>IF(46&lt;=Calculator!C18,46,"")</f>
        <v>46</v>
      </c>
      <c r="B57" s="23">
        <f t="shared" si="3"/>
        <v>936685.97367172199</v>
      </c>
      <c r="C57" s="23">
        <f>IF(A57="","",IF(J57="IO",Calculator!C22,IF(B57&gt;0,MIN(Calculator!C21,B57*(1+Calculator!C17)),0)))</f>
        <v>7067.7919727509352</v>
      </c>
      <c r="D57" s="23">
        <f>IF(A57="","",IF(AND(J57="P&amp;I",A57&gt;=Calculator!C9),MIN(Calculator!C8,MAX(0,B57-C57+F57)),0))</f>
        <v>0</v>
      </c>
      <c r="E57" s="23">
        <f t="shared" si="0"/>
        <v>7067.7919727509352</v>
      </c>
      <c r="F57" s="23">
        <f>IF(A57="","",IF(Calculator!C12="Beginning of Period",MAX(0,(B57-IF(J57="IO",Calculator!C22,Calculator!C21))*Calculator!C17),B57*Calculator!C17))</f>
        <v>5464.001513085067</v>
      </c>
      <c r="G57" s="23">
        <f t="shared" si="1"/>
        <v>1603.7904596658682</v>
      </c>
      <c r="H57" s="23">
        <f t="shared" si="2"/>
        <v>935082.18321205617</v>
      </c>
      <c r="I57" s="23">
        <f t="shared" si="4"/>
        <v>260200.61395859942</v>
      </c>
      <c r="J57" s="24" t="str">
        <f>IF(A57="","",IF(A57&lt;=Calculator!C19,"IO","P&amp;I"))</f>
        <v>P&amp;I</v>
      </c>
    </row>
    <row r="58" spans="1:10" ht="15.75" customHeight="1" x14ac:dyDescent="0.25">
      <c r="A58" s="19">
        <f>IF(47&lt;=Calculator!C18,47,"")</f>
        <v>47</v>
      </c>
      <c r="B58" s="20">
        <f t="shared" si="3"/>
        <v>935082.18321205617</v>
      </c>
      <c r="C58" s="20">
        <f>IF(A58="","",IF(J58="IO",Calculator!C22,IF(B58&gt;0,MIN(Calculator!C21,B58*(1+Calculator!C17)),0)))</f>
        <v>7067.7919727509352</v>
      </c>
      <c r="D58" s="20">
        <f>IF(A58="","",IF(AND(J58="P&amp;I",A58&gt;=Calculator!C9),MIN(Calculator!C8,MAX(0,B58-C58+F58)),0))</f>
        <v>0</v>
      </c>
      <c r="E58" s="20">
        <f t="shared" si="0"/>
        <v>7067.7919727509352</v>
      </c>
      <c r="F58" s="20">
        <f>IF(A58="","",IF(Calculator!C12="Beginning of Period",MAX(0,(B58-IF(J58="IO",Calculator!C22,Calculator!C21))*Calculator!C17),B58*Calculator!C17))</f>
        <v>5454.6460687370163</v>
      </c>
      <c r="G58" s="20">
        <f t="shared" si="1"/>
        <v>1613.1459040139189</v>
      </c>
      <c r="H58" s="20">
        <f t="shared" si="2"/>
        <v>933469.03730804229</v>
      </c>
      <c r="I58" s="20">
        <f t="shared" si="4"/>
        <v>265655.26002733642</v>
      </c>
      <c r="J58" s="21" t="str">
        <f>IF(A58="","",IF(A58&lt;=Calculator!C19,"IO","P&amp;I"))</f>
        <v>P&amp;I</v>
      </c>
    </row>
    <row r="59" spans="1:10" ht="15.75" customHeight="1" x14ac:dyDescent="0.25">
      <c r="A59" s="22">
        <f>IF(48&lt;=Calculator!C18,48,"")</f>
        <v>48</v>
      </c>
      <c r="B59" s="23">
        <f t="shared" si="3"/>
        <v>933469.03730804229</v>
      </c>
      <c r="C59" s="23">
        <f>IF(A59="","",IF(J59="IO",Calculator!C22,IF(B59&gt;0,MIN(Calculator!C21,B59*(1+Calculator!C17)),0)))</f>
        <v>7067.7919727509352</v>
      </c>
      <c r="D59" s="23">
        <f>IF(A59="","",IF(AND(J59="P&amp;I",A59&gt;=Calculator!C9),MIN(Calculator!C8,MAX(0,B59-C59+F59)),0))</f>
        <v>0</v>
      </c>
      <c r="E59" s="23">
        <f t="shared" si="0"/>
        <v>7067.7919727509352</v>
      </c>
      <c r="F59" s="23">
        <f>IF(A59="","",IF(Calculator!C12="Beginning of Period",MAX(0,(B59-IF(J59="IO",Calculator!C22,Calculator!C21))*Calculator!C17),B59*Calculator!C17))</f>
        <v>5445.2360509636019</v>
      </c>
      <c r="G59" s="23">
        <f t="shared" si="1"/>
        <v>1622.5559217873333</v>
      </c>
      <c r="H59" s="23">
        <f t="shared" si="2"/>
        <v>931846.48138625501</v>
      </c>
      <c r="I59" s="23">
        <f t="shared" si="4"/>
        <v>271100.4960783</v>
      </c>
      <c r="J59" s="24" t="str">
        <f>IF(A59="","",IF(A59&lt;=Calculator!C19,"IO","P&amp;I"))</f>
        <v>P&amp;I</v>
      </c>
    </row>
    <row r="60" spans="1:10" ht="15.75" customHeight="1" x14ac:dyDescent="0.25">
      <c r="A60" s="19">
        <f>IF(49&lt;=Calculator!C18,49,"")</f>
        <v>49</v>
      </c>
      <c r="B60" s="20">
        <f t="shared" si="3"/>
        <v>931846.48138625501</v>
      </c>
      <c r="C60" s="20">
        <f>IF(A60="","",IF(J60="IO",Calculator!C22,IF(B60&gt;0,MIN(Calculator!C21,B60*(1+Calculator!C17)),0)))</f>
        <v>7067.7919727509352</v>
      </c>
      <c r="D60" s="20">
        <f>IF(A60="","",IF(AND(J60="P&amp;I",A60&gt;=Calculator!C9),MIN(Calculator!C8,MAX(0,B60-C60+F60)),0))</f>
        <v>0</v>
      </c>
      <c r="E60" s="20">
        <f t="shared" si="0"/>
        <v>7067.7919727509352</v>
      </c>
      <c r="F60" s="20">
        <f>IF(A60="","",IF(Calculator!C12="Beginning of Period",MAX(0,(B60-IF(J60="IO",Calculator!C22,Calculator!C21))*Calculator!C17),B60*Calculator!C17))</f>
        <v>5435.7711414198429</v>
      </c>
      <c r="G60" s="20">
        <f t="shared" si="1"/>
        <v>1632.0208313310923</v>
      </c>
      <c r="H60" s="20">
        <f t="shared" si="2"/>
        <v>930214.46055492386</v>
      </c>
      <c r="I60" s="20">
        <f t="shared" si="4"/>
        <v>276536.26721971983</v>
      </c>
      <c r="J60" s="21" t="str">
        <f>IF(A60="","",IF(A60&lt;=Calculator!C19,"IO","P&amp;I"))</f>
        <v>P&amp;I</v>
      </c>
    </row>
    <row r="61" spans="1:10" ht="15.75" customHeight="1" x14ac:dyDescent="0.25">
      <c r="A61" s="22">
        <f>IF(50&lt;=Calculator!C18,50,"")</f>
        <v>50</v>
      </c>
      <c r="B61" s="23">
        <f t="shared" si="3"/>
        <v>930214.46055492386</v>
      </c>
      <c r="C61" s="23">
        <f>IF(A61="","",IF(J61="IO",Calculator!C22,IF(B61&gt;0,MIN(Calculator!C21,B61*(1+Calculator!C17)),0)))</f>
        <v>7067.7919727509352</v>
      </c>
      <c r="D61" s="23">
        <f>IF(A61="","",IF(AND(J61="P&amp;I",A61&gt;=Calculator!C9),MIN(Calculator!C8,MAX(0,B61-C61+F61)),0))</f>
        <v>0</v>
      </c>
      <c r="E61" s="23">
        <f t="shared" si="0"/>
        <v>7067.7919727509352</v>
      </c>
      <c r="F61" s="23">
        <f>IF(A61="","",IF(Calculator!C12="Beginning of Period",MAX(0,(B61-IF(J61="IO",Calculator!C22,Calculator!C21))*Calculator!C17),B61*Calculator!C17))</f>
        <v>5426.2510199037442</v>
      </c>
      <c r="G61" s="23">
        <f t="shared" si="1"/>
        <v>1641.540952847191</v>
      </c>
      <c r="H61" s="23">
        <f t="shared" si="2"/>
        <v>928572.91960207664</v>
      </c>
      <c r="I61" s="23">
        <f t="shared" si="4"/>
        <v>281962.51823962358</v>
      </c>
      <c r="J61" s="24" t="str">
        <f>IF(A61="","",IF(A61&lt;=Calculator!C19,"IO","P&amp;I"))</f>
        <v>P&amp;I</v>
      </c>
    </row>
    <row r="62" spans="1:10" ht="15.75" customHeight="1" x14ac:dyDescent="0.25">
      <c r="A62" s="19">
        <f>IF(51&lt;=Calculator!C18,51,"")</f>
        <v>51</v>
      </c>
      <c r="B62" s="20">
        <f t="shared" si="3"/>
        <v>928572.91960207664</v>
      </c>
      <c r="C62" s="20">
        <f>IF(A62="","",IF(J62="IO",Calculator!C22,IF(B62&gt;0,MIN(Calculator!C21,B62*(1+Calculator!C17)),0)))</f>
        <v>7067.7919727509352</v>
      </c>
      <c r="D62" s="20">
        <f>IF(A62="","",IF(AND(J62="P&amp;I",A62&gt;=Calculator!C9),MIN(Calculator!C8,MAX(0,B62-C62+F62)),0))</f>
        <v>0</v>
      </c>
      <c r="E62" s="20">
        <f t="shared" si="0"/>
        <v>7067.7919727509352</v>
      </c>
      <c r="F62" s="20">
        <f>IF(A62="","",IF(Calculator!C12="Beginning of Period",MAX(0,(B62-IF(J62="IO",Calculator!C22,Calculator!C21))*Calculator!C17),B62*Calculator!C17))</f>
        <v>5416.6753643454695</v>
      </c>
      <c r="G62" s="20">
        <f t="shared" si="1"/>
        <v>1651.1166084054657</v>
      </c>
      <c r="H62" s="20">
        <f t="shared" si="2"/>
        <v>926921.80299367115</v>
      </c>
      <c r="I62" s="20">
        <f t="shared" si="4"/>
        <v>287379.19360396906</v>
      </c>
      <c r="J62" s="21" t="str">
        <f>IF(A62="","",IF(A62&lt;=Calculator!C19,"IO","P&amp;I"))</f>
        <v>P&amp;I</v>
      </c>
    </row>
    <row r="63" spans="1:10" ht="15.75" customHeight="1" x14ac:dyDescent="0.25">
      <c r="A63" s="22">
        <f>IF(52&lt;=Calculator!C18,52,"")</f>
        <v>52</v>
      </c>
      <c r="B63" s="23">
        <f t="shared" si="3"/>
        <v>926921.80299367115</v>
      </c>
      <c r="C63" s="23">
        <f>IF(A63="","",IF(J63="IO",Calculator!C22,IF(B63&gt;0,MIN(Calculator!C21,B63*(1+Calculator!C17)),0)))</f>
        <v>7067.7919727509352</v>
      </c>
      <c r="D63" s="23">
        <f>IF(A63="","",IF(AND(J63="P&amp;I",A63&gt;=Calculator!C9),MIN(Calculator!C8,MAX(0,B63-C63+F63)),0))</f>
        <v>0</v>
      </c>
      <c r="E63" s="23">
        <f t="shared" si="0"/>
        <v>7067.7919727509352</v>
      </c>
      <c r="F63" s="23">
        <f>IF(A63="","",IF(Calculator!C12="Beginning of Period",MAX(0,(B63-IF(J63="IO",Calculator!C22,Calculator!C21))*Calculator!C17),B63*Calculator!C17))</f>
        <v>5407.0438507964373</v>
      </c>
      <c r="G63" s="23">
        <f t="shared" si="1"/>
        <v>1660.7481219544979</v>
      </c>
      <c r="H63" s="23">
        <f t="shared" si="2"/>
        <v>925261.05487171665</v>
      </c>
      <c r="I63" s="23">
        <f t="shared" si="4"/>
        <v>292786.23745476548</v>
      </c>
      <c r="J63" s="24" t="str">
        <f>IF(A63="","",IF(A63&lt;=Calculator!C19,"IO","P&amp;I"))</f>
        <v>P&amp;I</v>
      </c>
    </row>
    <row r="64" spans="1:10" ht="15.75" customHeight="1" x14ac:dyDescent="0.25">
      <c r="A64" s="19">
        <f>IF(53&lt;=Calculator!C18,53,"")</f>
        <v>53</v>
      </c>
      <c r="B64" s="20">
        <f t="shared" si="3"/>
        <v>925261.05487171665</v>
      </c>
      <c r="C64" s="20">
        <f>IF(A64="","",IF(J64="IO",Calculator!C22,IF(B64&gt;0,MIN(Calculator!C21,B64*(1+Calculator!C17)),0)))</f>
        <v>7067.7919727509352</v>
      </c>
      <c r="D64" s="20">
        <f>IF(A64="","",IF(AND(J64="P&amp;I",A64&gt;=Calculator!C9),MIN(Calculator!C8,MAX(0,B64-C64+F64)),0))</f>
        <v>0</v>
      </c>
      <c r="E64" s="20">
        <f t="shared" si="0"/>
        <v>7067.7919727509352</v>
      </c>
      <c r="F64" s="20">
        <f>IF(A64="","",IF(Calculator!C12="Beginning of Period",MAX(0,(B64-IF(J64="IO",Calculator!C22,Calculator!C21))*Calculator!C17),B64*Calculator!C17))</f>
        <v>5397.3561534183691</v>
      </c>
      <c r="G64" s="20">
        <f t="shared" si="1"/>
        <v>1670.4358193325661</v>
      </c>
      <c r="H64" s="20">
        <f t="shared" si="2"/>
        <v>923590.61905238405</v>
      </c>
      <c r="I64" s="20">
        <f t="shared" si="4"/>
        <v>298183.59360818384</v>
      </c>
      <c r="J64" s="21" t="str">
        <f>IF(A64="","",IF(A64&lt;=Calculator!C19,"IO","P&amp;I"))</f>
        <v>P&amp;I</v>
      </c>
    </row>
    <row r="65" spans="1:10" ht="15.75" customHeight="1" x14ac:dyDescent="0.25">
      <c r="A65" s="22">
        <f>IF(54&lt;=Calculator!C18,54,"")</f>
        <v>54</v>
      </c>
      <c r="B65" s="23">
        <f t="shared" si="3"/>
        <v>923590.61905238405</v>
      </c>
      <c r="C65" s="23">
        <f>IF(A65="","",IF(J65="IO",Calculator!C22,IF(B65&gt;0,MIN(Calculator!C21,B65*(1+Calculator!C17)),0)))</f>
        <v>7067.7919727509352</v>
      </c>
      <c r="D65" s="23">
        <f>IF(A65="","",IF(AND(J65="P&amp;I",A65&gt;=Calculator!C9),MIN(Calculator!C8,MAX(0,B65-C65+F65)),0))</f>
        <v>0</v>
      </c>
      <c r="E65" s="23">
        <f t="shared" si="0"/>
        <v>7067.7919727509352</v>
      </c>
      <c r="F65" s="23">
        <f>IF(A65="","",IF(Calculator!C12="Beginning of Period",MAX(0,(B65-IF(J65="IO",Calculator!C22,Calculator!C21))*Calculator!C17),B65*Calculator!C17))</f>
        <v>5387.6119444722617</v>
      </c>
      <c r="G65" s="23">
        <f t="shared" si="1"/>
        <v>1680.1800282786735</v>
      </c>
      <c r="H65" s="23">
        <f t="shared" si="2"/>
        <v>921910.43902410532</v>
      </c>
      <c r="I65" s="23">
        <f t="shared" si="4"/>
        <v>303571.20555265609</v>
      </c>
      <c r="J65" s="24" t="str">
        <f>IF(A65="","",IF(A65&lt;=Calculator!C19,"IO","P&amp;I"))</f>
        <v>P&amp;I</v>
      </c>
    </row>
    <row r="66" spans="1:10" ht="15.75" customHeight="1" x14ac:dyDescent="0.25">
      <c r="A66" s="19">
        <f>IF(55&lt;=Calculator!C18,55,"")</f>
        <v>55</v>
      </c>
      <c r="B66" s="20">
        <f t="shared" si="3"/>
        <v>921910.43902410532</v>
      </c>
      <c r="C66" s="20">
        <f>IF(A66="","",IF(J66="IO",Calculator!C22,IF(B66&gt;0,MIN(Calculator!C21,B66*(1+Calculator!C17)),0)))</f>
        <v>7067.7919727509352</v>
      </c>
      <c r="D66" s="20">
        <f>IF(A66="","",IF(AND(J66="P&amp;I",A66&gt;=Calculator!C9),MIN(Calculator!C8,MAX(0,B66-C66+F66)),0))</f>
        <v>0</v>
      </c>
      <c r="E66" s="20">
        <f t="shared" si="0"/>
        <v>7067.7919727509352</v>
      </c>
      <c r="F66" s="20">
        <f>IF(A66="","",IF(Calculator!C12="Beginning of Period",MAX(0,(B66-IF(J66="IO",Calculator!C22,Calculator!C21))*Calculator!C17),B66*Calculator!C17))</f>
        <v>5377.810894307303</v>
      </c>
      <c r="G66" s="20">
        <f t="shared" si="1"/>
        <v>1689.9810784436322</v>
      </c>
      <c r="H66" s="20">
        <f t="shared" si="2"/>
        <v>920220.45794566174</v>
      </c>
      <c r="I66" s="20">
        <f t="shared" si="4"/>
        <v>308949.01644696342</v>
      </c>
      <c r="J66" s="21" t="str">
        <f>IF(A66="","",IF(A66&lt;=Calculator!C19,"IO","P&amp;I"))</f>
        <v>P&amp;I</v>
      </c>
    </row>
    <row r="67" spans="1:10" ht="15.75" customHeight="1" x14ac:dyDescent="0.25">
      <c r="A67" s="22">
        <f>IF(56&lt;=Calculator!C18,56,"")</f>
        <v>56</v>
      </c>
      <c r="B67" s="23">
        <f t="shared" si="3"/>
        <v>920220.45794566174</v>
      </c>
      <c r="C67" s="23">
        <f>IF(A67="","",IF(J67="IO",Calculator!C22,IF(B67&gt;0,MIN(Calculator!C21,B67*(1+Calculator!C17)),0)))</f>
        <v>7067.7919727509352</v>
      </c>
      <c r="D67" s="23">
        <f>IF(A67="","",IF(AND(J67="P&amp;I",A67&gt;=Calculator!C9),MIN(Calculator!C8,MAX(0,B67-C67+F67)),0))</f>
        <v>0</v>
      </c>
      <c r="E67" s="23">
        <f t="shared" si="0"/>
        <v>7067.7919727509352</v>
      </c>
      <c r="F67" s="23">
        <f>IF(A67="","",IF(Calculator!C12="Beginning of Period",MAX(0,(B67-IF(J67="IO",Calculator!C22,Calculator!C21))*Calculator!C17),B67*Calculator!C17))</f>
        <v>5367.9526713497153</v>
      </c>
      <c r="G67" s="23">
        <f t="shared" si="1"/>
        <v>1699.8393014012199</v>
      </c>
      <c r="H67" s="23">
        <f t="shared" si="2"/>
        <v>918520.61864426057</v>
      </c>
      <c r="I67" s="23">
        <f t="shared" si="4"/>
        <v>314316.96911831311</v>
      </c>
      <c r="J67" s="24" t="str">
        <f>IF(A67="","",IF(A67&lt;=Calculator!C19,"IO","P&amp;I"))</f>
        <v>P&amp;I</v>
      </c>
    </row>
    <row r="68" spans="1:10" ht="15.75" customHeight="1" x14ac:dyDescent="0.25">
      <c r="A68" s="19">
        <f>IF(57&lt;=Calculator!C18,57,"")</f>
        <v>57</v>
      </c>
      <c r="B68" s="20">
        <f t="shared" si="3"/>
        <v>918520.61864426057</v>
      </c>
      <c r="C68" s="20">
        <f>IF(A68="","",IF(J68="IO",Calculator!C22,IF(B68&gt;0,MIN(Calculator!C21,B68*(1+Calculator!C17)),0)))</f>
        <v>7067.7919727509352</v>
      </c>
      <c r="D68" s="20">
        <f>IF(A68="","",IF(AND(J68="P&amp;I",A68&gt;=Calculator!C9),MIN(Calculator!C8,MAX(0,B68-C68+F68)),0))</f>
        <v>0</v>
      </c>
      <c r="E68" s="20">
        <f t="shared" si="0"/>
        <v>7067.7919727509352</v>
      </c>
      <c r="F68" s="20">
        <f>IF(A68="","",IF(Calculator!C12="Beginning of Period",MAX(0,(B68-IF(J68="IO",Calculator!C22,Calculator!C21))*Calculator!C17),B68*Calculator!C17))</f>
        <v>5358.0369420915422</v>
      </c>
      <c r="G68" s="20">
        <f t="shared" si="1"/>
        <v>1709.755030659393</v>
      </c>
      <c r="H68" s="20">
        <f t="shared" si="2"/>
        <v>916810.86361360119</v>
      </c>
      <c r="I68" s="20">
        <f t="shared" si="4"/>
        <v>319675.00606040464</v>
      </c>
      <c r="J68" s="21" t="str">
        <f>IF(A68="","",IF(A68&lt;=Calculator!C19,"IO","P&amp;I"))</f>
        <v>P&amp;I</v>
      </c>
    </row>
    <row r="69" spans="1:10" ht="15.75" customHeight="1" x14ac:dyDescent="0.25">
      <c r="A69" s="22">
        <f>IF(58&lt;=Calculator!C18,58,"")</f>
        <v>58</v>
      </c>
      <c r="B69" s="23">
        <f t="shared" si="3"/>
        <v>916810.86361360119</v>
      </c>
      <c r="C69" s="23">
        <f>IF(A69="","",IF(J69="IO",Calculator!C22,IF(B69&gt;0,MIN(Calculator!C21,B69*(1+Calculator!C17)),0)))</f>
        <v>7067.7919727509352</v>
      </c>
      <c r="D69" s="23">
        <f>IF(A69="","",IF(AND(J69="P&amp;I",A69&gt;=Calculator!C9),MIN(Calculator!C8,MAX(0,B69-C69+F69)),0))</f>
        <v>0</v>
      </c>
      <c r="E69" s="23">
        <f t="shared" si="0"/>
        <v>7067.7919727509352</v>
      </c>
      <c r="F69" s="23">
        <f>IF(A69="","",IF(Calculator!C12="Beginning of Period",MAX(0,(B69-IF(J69="IO",Calculator!C22,Calculator!C21))*Calculator!C17),B69*Calculator!C17))</f>
        <v>5348.0633710793618</v>
      </c>
      <c r="G69" s="23">
        <f t="shared" si="1"/>
        <v>1719.7286016715734</v>
      </c>
      <c r="H69" s="23">
        <f t="shared" si="2"/>
        <v>915091.13501192967</v>
      </c>
      <c r="I69" s="23">
        <f t="shared" si="4"/>
        <v>325023.06943148398</v>
      </c>
      <c r="J69" s="24" t="str">
        <f>IF(A69="","",IF(A69&lt;=Calculator!C19,"IO","P&amp;I"))</f>
        <v>P&amp;I</v>
      </c>
    </row>
    <row r="70" spans="1:10" ht="15.75" customHeight="1" x14ac:dyDescent="0.25">
      <c r="A70" s="19">
        <f>IF(59&lt;=Calculator!C18,59,"")</f>
        <v>59</v>
      </c>
      <c r="B70" s="20">
        <f t="shared" si="3"/>
        <v>915091.13501192967</v>
      </c>
      <c r="C70" s="20">
        <f>IF(A70="","",IF(J70="IO",Calculator!C22,IF(B70&gt;0,MIN(Calculator!C21,B70*(1+Calculator!C17)),0)))</f>
        <v>7067.7919727509352</v>
      </c>
      <c r="D70" s="20">
        <f>IF(A70="","",IF(AND(J70="P&amp;I",A70&gt;=Calculator!C9),MIN(Calculator!C8,MAX(0,B70-C70+F70)),0))</f>
        <v>0</v>
      </c>
      <c r="E70" s="20">
        <f t="shared" si="0"/>
        <v>7067.7919727509352</v>
      </c>
      <c r="F70" s="20">
        <f>IF(A70="","",IF(Calculator!C12="Beginning of Period",MAX(0,(B70-IF(J70="IO",Calculator!C22,Calculator!C21))*Calculator!C17),B70*Calculator!C17))</f>
        <v>5338.0316209029452</v>
      </c>
      <c r="G70" s="20">
        <f t="shared" si="1"/>
        <v>1729.76035184799</v>
      </c>
      <c r="H70" s="20">
        <f t="shared" si="2"/>
        <v>913361.3746600817</v>
      </c>
      <c r="I70" s="20">
        <f t="shared" si="4"/>
        <v>330361.10105238692</v>
      </c>
      <c r="J70" s="21" t="str">
        <f>IF(A70="","",IF(A70&lt;=Calculator!C19,"IO","P&amp;I"))</f>
        <v>P&amp;I</v>
      </c>
    </row>
    <row r="71" spans="1:10" ht="15.75" customHeight="1" x14ac:dyDescent="0.25">
      <c r="A71" s="22">
        <f>IF(60&lt;=Calculator!C18,60,"")</f>
        <v>60</v>
      </c>
      <c r="B71" s="23">
        <f t="shared" si="3"/>
        <v>913361.3746600817</v>
      </c>
      <c r="C71" s="23">
        <f>IF(A71="","",IF(J71="IO",Calculator!C22,IF(B71&gt;0,MIN(Calculator!C21,B71*(1+Calculator!C17)),0)))</f>
        <v>7067.7919727509352</v>
      </c>
      <c r="D71" s="23">
        <f>IF(A71="","",IF(AND(J71="P&amp;I",A71&gt;=Calculator!C9),MIN(Calculator!C8,MAX(0,B71-C71+F71)),0))</f>
        <v>0</v>
      </c>
      <c r="E71" s="23">
        <f t="shared" si="0"/>
        <v>7067.7919727509352</v>
      </c>
      <c r="F71" s="23">
        <f>IF(A71="","",IF(Calculator!C12="Beginning of Period",MAX(0,(B71-IF(J71="IO",Calculator!C22,Calculator!C21))*Calculator!C17),B71*Calculator!C17))</f>
        <v>5327.9413521838314</v>
      </c>
      <c r="G71" s="23">
        <f t="shared" si="1"/>
        <v>1739.8506205671038</v>
      </c>
      <c r="H71" s="23">
        <f t="shared" si="2"/>
        <v>911621.5240395146</v>
      </c>
      <c r="I71" s="23">
        <f t="shared" si="4"/>
        <v>335689.04240457073</v>
      </c>
      <c r="J71" s="24" t="str">
        <f>IF(A71="","",IF(A71&lt;=Calculator!C19,"IO","P&amp;I"))</f>
        <v>P&amp;I</v>
      </c>
    </row>
    <row r="72" spans="1:10" ht="15.75" customHeight="1" x14ac:dyDescent="0.25">
      <c r="A72" s="19">
        <f>IF(61&lt;=Calculator!C18,61,"")</f>
        <v>61</v>
      </c>
      <c r="B72" s="20">
        <f t="shared" si="3"/>
        <v>911621.5240395146</v>
      </c>
      <c r="C72" s="20">
        <f>IF(A72="","",IF(J72="IO",Calculator!C22,IF(B72&gt;0,MIN(Calculator!C21,B72*(1+Calculator!C17)),0)))</f>
        <v>7067.7919727509352</v>
      </c>
      <c r="D72" s="20">
        <f>IF(A72="","",IF(AND(J72="P&amp;I",A72&gt;=Calculator!C9),MIN(Calculator!C8,MAX(0,B72-C72+F72)),0))</f>
        <v>0</v>
      </c>
      <c r="E72" s="20">
        <f t="shared" si="0"/>
        <v>7067.7919727509352</v>
      </c>
      <c r="F72" s="20">
        <f>IF(A72="","",IF(Calculator!C12="Beginning of Period",MAX(0,(B72-IF(J72="IO",Calculator!C22,Calculator!C21))*Calculator!C17),B72*Calculator!C17))</f>
        <v>5317.7922235638571</v>
      </c>
      <c r="G72" s="20">
        <f t="shared" si="1"/>
        <v>1749.9997491870781</v>
      </c>
      <c r="H72" s="20">
        <f t="shared" si="2"/>
        <v>909871.52429032756</v>
      </c>
      <c r="I72" s="20">
        <f t="shared" si="4"/>
        <v>341006.83462813462</v>
      </c>
      <c r="J72" s="21" t="str">
        <f>IF(A72="","",IF(A72&lt;=Calculator!C19,"IO","P&amp;I"))</f>
        <v>P&amp;I</v>
      </c>
    </row>
    <row r="73" spans="1:10" ht="15.75" customHeight="1" x14ac:dyDescent="0.25">
      <c r="A73" s="22">
        <f>IF(62&lt;=Calculator!C18,62,"")</f>
        <v>62</v>
      </c>
      <c r="B73" s="23">
        <f t="shared" si="3"/>
        <v>909871.52429032756</v>
      </c>
      <c r="C73" s="23">
        <f>IF(A73="","",IF(J73="IO",Calculator!C22,IF(B73&gt;0,MIN(Calculator!C21,B73*(1+Calculator!C17)),0)))</f>
        <v>7067.7919727509352</v>
      </c>
      <c r="D73" s="23">
        <f>IF(A73="","",IF(AND(J73="P&amp;I",A73&gt;=Calculator!C9),MIN(Calculator!C8,MAX(0,B73-C73+F73)),0))</f>
        <v>0</v>
      </c>
      <c r="E73" s="23">
        <f t="shared" si="0"/>
        <v>7067.7919727509352</v>
      </c>
      <c r="F73" s="23">
        <f>IF(A73="","",IF(Calculator!C12="Beginning of Period",MAX(0,(B73-IF(J73="IO",Calculator!C22,Calculator!C21))*Calculator!C17),B73*Calculator!C17))</f>
        <v>5307.5838916935991</v>
      </c>
      <c r="G73" s="23">
        <f t="shared" si="1"/>
        <v>1760.2080810573361</v>
      </c>
      <c r="H73" s="23">
        <f t="shared" si="2"/>
        <v>908111.31620927027</v>
      </c>
      <c r="I73" s="23">
        <f t="shared" si="4"/>
        <v>346314.41851982824</v>
      </c>
      <c r="J73" s="24" t="str">
        <f>IF(A73="","",IF(A73&lt;=Calculator!C19,"IO","P&amp;I"))</f>
        <v>P&amp;I</v>
      </c>
    </row>
    <row r="74" spans="1:10" ht="15.75" customHeight="1" x14ac:dyDescent="0.25">
      <c r="A74" s="19">
        <f>IF(63&lt;=Calculator!C18,63,"")</f>
        <v>63</v>
      </c>
      <c r="B74" s="20">
        <f t="shared" si="3"/>
        <v>908111.31620927027</v>
      </c>
      <c r="C74" s="20">
        <f>IF(A74="","",IF(J74="IO",Calculator!C22,IF(B74&gt;0,MIN(Calculator!C21,B74*(1+Calculator!C17)),0)))</f>
        <v>7067.7919727509352</v>
      </c>
      <c r="D74" s="20">
        <f>IF(A74="","",IF(AND(J74="P&amp;I",A74&gt;=Calculator!C9),MIN(Calculator!C8,MAX(0,B74-C74+F74)),0))</f>
        <v>0</v>
      </c>
      <c r="E74" s="20">
        <f t="shared" si="0"/>
        <v>7067.7919727509352</v>
      </c>
      <c r="F74" s="20">
        <f>IF(A74="","",IF(Calculator!C12="Beginning of Period",MAX(0,(B74-IF(J74="IO",Calculator!C22,Calculator!C21))*Calculator!C17),B74*Calculator!C17))</f>
        <v>5297.3160112207652</v>
      </c>
      <c r="G74" s="20">
        <f t="shared" si="1"/>
        <v>1770.47596153017</v>
      </c>
      <c r="H74" s="20">
        <f t="shared" si="2"/>
        <v>906340.84024774015</v>
      </c>
      <c r="I74" s="20">
        <f t="shared" si="4"/>
        <v>351611.73453104898</v>
      </c>
      <c r="J74" s="21" t="str">
        <f>IF(A74="","",IF(A74&lt;=Calculator!C19,"IO","P&amp;I"))</f>
        <v>P&amp;I</v>
      </c>
    </row>
    <row r="75" spans="1:10" ht="15.75" customHeight="1" x14ac:dyDescent="0.25">
      <c r="A75" s="22">
        <f>IF(64&lt;=Calculator!C18,64,"")</f>
        <v>64</v>
      </c>
      <c r="B75" s="23">
        <f t="shared" si="3"/>
        <v>906340.84024774015</v>
      </c>
      <c r="C75" s="23">
        <f>IF(A75="","",IF(J75="IO",Calculator!C22,IF(B75&gt;0,MIN(Calculator!C21,B75*(1+Calculator!C17)),0)))</f>
        <v>7067.7919727509352</v>
      </c>
      <c r="D75" s="23">
        <f>IF(A75="","",IF(AND(J75="P&amp;I",A75&gt;=Calculator!C9),MIN(Calculator!C8,MAX(0,B75-C75+F75)),0))</f>
        <v>0</v>
      </c>
      <c r="E75" s="23">
        <f t="shared" si="0"/>
        <v>7067.7919727509352</v>
      </c>
      <c r="F75" s="23">
        <f>IF(A75="","",IF(Calculator!C12="Beginning of Period",MAX(0,(B75-IF(J75="IO",Calculator!C22,Calculator!C21))*Calculator!C17),B75*Calculator!C17))</f>
        <v>5286.988234778506</v>
      </c>
      <c r="G75" s="23">
        <f t="shared" si="1"/>
        <v>1780.8037379724292</v>
      </c>
      <c r="H75" s="23">
        <f t="shared" si="2"/>
        <v>904560.03650976776</v>
      </c>
      <c r="I75" s="23">
        <f t="shared" si="4"/>
        <v>356898.72276582749</v>
      </c>
      <c r="J75" s="24" t="str">
        <f>IF(A75="","",IF(A75&lt;=Calculator!C19,"IO","P&amp;I"))</f>
        <v>P&amp;I</v>
      </c>
    </row>
    <row r="76" spans="1:10" ht="15.75" customHeight="1" x14ac:dyDescent="0.25">
      <c r="A76" s="19">
        <f>IF(65&lt;=Calculator!C18,65,"")</f>
        <v>65</v>
      </c>
      <c r="B76" s="20">
        <f t="shared" si="3"/>
        <v>904560.03650976776</v>
      </c>
      <c r="C76" s="20">
        <f>IF(A76="","",IF(J76="IO",Calculator!C22,IF(B76&gt;0,MIN(Calculator!C21,B76*(1+Calculator!C17)),0)))</f>
        <v>7067.7919727509352</v>
      </c>
      <c r="D76" s="20">
        <f>IF(A76="","",IF(AND(J76="P&amp;I",A76&gt;=Calculator!C9),MIN(Calculator!C8,MAX(0,B76-C76+F76)),0))</f>
        <v>0</v>
      </c>
      <c r="E76" s="20">
        <f t="shared" ref="E76:E139" si="5">IF(A76="","",C76+D76)</f>
        <v>7067.7919727509352</v>
      </c>
      <c r="F76" s="20">
        <f>IF(A76="","",IF(Calculator!C12="Beginning of Period",MAX(0,(B76-IF(J76="IO",Calculator!C22,Calculator!C21))*Calculator!C17),B76*Calculator!C17))</f>
        <v>5276.6002129736671</v>
      </c>
      <c r="G76" s="20">
        <f t="shared" ref="G76:G139" si="6">IF(A76="","",IF(J76="IO",0,MAX(0,C76-F76)))</f>
        <v>1791.1917597772681</v>
      </c>
      <c r="H76" s="20">
        <f t="shared" ref="H76:H139" si="7">IF(A76="","",MAX(0,B76-G76-D76))</f>
        <v>902768.8447499905</v>
      </c>
      <c r="I76" s="20">
        <f t="shared" si="4"/>
        <v>362175.32297880115</v>
      </c>
      <c r="J76" s="21" t="str">
        <f>IF(A76="","",IF(A76&lt;=Calculator!C19,"IO","P&amp;I"))</f>
        <v>P&amp;I</v>
      </c>
    </row>
    <row r="77" spans="1:10" ht="15.75" customHeight="1" x14ac:dyDescent="0.25">
      <c r="A77" s="22">
        <f>IF(66&lt;=Calculator!C18,66,"")</f>
        <v>66</v>
      </c>
      <c r="B77" s="23">
        <f t="shared" ref="B77:B140" si="8">IF(A77="","",H76)</f>
        <v>902768.8447499905</v>
      </c>
      <c r="C77" s="23">
        <f>IF(A77="","",IF(J77="IO",Calculator!C22,IF(B77&gt;0,MIN(Calculator!C21,B77*(1+Calculator!C17)),0)))</f>
        <v>7067.7919727509352</v>
      </c>
      <c r="D77" s="23">
        <f>IF(A77="","",IF(AND(J77="P&amp;I",A77&gt;=Calculator!C9),MIN(Calculator!C8,MAX(0,B77-C77+F77)),0))</f>
        <v>0</v>
      </c>
      <c r="E77" s="23">
        <f t="shared" si="5"/>
        <v>7067.7919727509352</v>
      </c>
      <c r="F77" s="23">
        <f>IF(A77="","",IF(Calculator!C12="Beginning of Period",MAX(0,(B77-IF(J77="IO",Calculator!C22,Calculator!C21))*Calculator!C17),B77*Calculator!C17))</f>
        <v>5266.1515943749664</v>
      </c>
      <c r="G77" s="23">
        <f t="shared" si="6"/>
        <v>1801.6403783759688</v>
      </c>
      <c r="H77" s="23">
        <f t="shared" si="7"/>
        <v>900967.2043716145</v>
      </c>
      <c r="I77" s="23">
        <f t="shared" ref="I77:I140" si="9">IF(A77="","",I76+F77)</f>
        <v>367441.47457317612</v>
      </c>
      <c r="J77" s="24" t="str">
        <f>IF(A77="","",IF(A77&lt;=Calculator!C19,"IO","P&amp;I"))</f>
        <v>P&amp;I</v>
      </c>
    </row>
    <row r="78" spans="1:10" ht="15.75" customHeight="1" x14ac:dyDescent="0.25">
      <c r="A78" s="19">
        <f>IF(67&lt;=Calculator!C18,67,"")</f>
        <v>67</v>
      </c>
      <c r="B78" s="20">
        <f t="shared" si="8"/>
        <v>900967.2043716145</v>
      </c>
      <c r="C78" s="20">
        <f>IF(A78="","",IF(J78="IO",Calculator!C22,IF(B78&gt;0,MIN(Calculator!C21,B78*(1+Calculator!C17)),0)))</f>
        <v>7067.7919727509352</v>
      </c>
      <c r="D78" s="20">
        <f>IF(A78="","",IF(AND(J78="P&amp;I",A78&gt;=Calculator!C9),MIN(Calculator!C8,MAX(0,B78-C78+F78)),0))</f>
        <v>0</v>
      </c>
      <c r="E78" s="20">
        <f t="shared" si="5"/>
        <v>7067.7919727509352</v>
      </c>
      <c r="F78" s="20">
        <f>IF(A78="","",IF(Calculator!C12="Beginning of Period",MAX(0,(B78-IF(J78="IO",Calculator!C22,Calculator!C21))*Calculator!C17),B78*Calculator!C17))</f>
        <v>5255.6420255011062</v>
      </c>
      <c r="G78" s="20">
        <f t="shared" si="6"/>
        <v>1812.149947249829</v>
      </c>
      <c r="H78" s="20">
        <f t="shared" si="7"/>
        <v>899155.0544243647</v>
      </c>
      <c r="I78" s="20">
        <f t="shared" si="9"/>
        <v>372697.11659867724</v>
      </c>
      <c r="J78" s="21" t="str">
        <f>IF(A78="","",IF(A78&lt;=Calculator!C19,"IO","P&amp;I"))</f>
        <v>P&amp;I</v>
      </c>
    </row>
    <row r="79" spans="1:10" ht="15.75" customHeight="1" x14ac:dyDescent="0.25">
      <c r="A79" s="22">
        <f>IF(68&lt;=Calculator!C18,68,"")</f>
        <v>68</v>
      </c>
      <c r="B79" s="23">
        <f t="shared" si="8"/>
        <v>899155.0544243647</v>
      </c>
      <c r="C79" s="23">
        <f>IF(A79="","",IF(J79="IO",Calculator!C22,IF(B79&gt;0,MIN(Calculator!C21,B79*(1+Calculator!C17)),0)))</f>
        <v>7067.7919727509352</v>
      </c>
      <c r="D79" s="23">
        <f>IF(A79="","",IF(AND(J79="P&amp;I",A79&gt;=Calculator!C9),MIN(Calculator!C8,MAX(0,B79-C79+F79)),0))</f>
        <v>0</v>
      </c>
      <c r="E79" s="23">
        <f t="shared" si="5"/>
        <v>7067.7919727509352</v>
      </c>
      <c r="F79" s="23">
        <f>IF(A79="","",IF(Calculator!C12="Beginning of Period",MAX(0,(B79-IF(J79="IO",Calculator!C22,Calculator!C21))*Calculator!C17),B79*Calculator!C17))</f>
        <v>5245.0711508088152</v>
      </c>
      <c r="G79" s="23">
        <f t="shared" si="6"/>
        <v>1822.72082194212</v>
      </c>
      <c r="H79" s="23">
        <f t="shared" si="7"/>
        <v>897332.33360242262</v>
      </c>
      <c r="I79" s="23">
        <f t="shared" si="9"/>
        <v>377942.18774948607</v>
      </c>
      <c r="J79" s="24" t="str">
        <f>IF(A79="","",IF(A79&lt;=Calculator!C19,"IO","P&amp;I"))</f>
        <v>P&amp;I</v>
      </c>
    </row>
    <row r="80" spans="1:10" ht="15.75" customHeight="1" x14ac:dyDescent="0.25">
      <c r="A80" s="19">
        <f>IF(69&lt;=Calculator!C18,69,"")</f>
        <v>69</v>
      </c>
      <c r="B80" s="20">
        <f t="shared" si="8"/>
        <v>897332.33360242262</v>
      </c>
      <c r="C80" s="20">
        <f>IF(A80="","",IF(J80="IO",Calculator!C22,IF(B80&gt;0,MIN(Calculator!C21,B80*(1+Calculator!C17)),0)))</f>
        <v>7067.7919727509352</v>
      </c>
      <c r="D80" s="20">
        <f>IF(A80="","",IF(AND(J80="P&amp;I",A80&gt;=Calculator!C9),MIN(Calculator!C8,MAX(0,B80-C80+F80)),0))</f>
        <v>0</v>
      </c>
      <c r="E80" s="20">
        <f t="shared" si="5"/>
        <v>7067.7919727509352</v>
      </c>
      <c r="F80" s="20">
        <f>IF(A80="","",IF(Calculator!C12="Beginning of Period",MAX(0,(B80-IF(J80="IO",Calculator!C22,Calculator!C21))*Calculator!C17),B80*Calculator!C17))</f>
        <v>5234.4386126808195</v>
      </c>
      <c r="G80" s="20">
        <f t="shared" si="6"/>
        <v>1833.3533600701157</v>
      </c>
      <c r="H80" s="20">
        <f t="shared" si="7"/>
        <v>895498.98024235247</v>
      </c>
      <c r="I80" s="20">
        <f t="shared" si="9"/>
        <v>383176.62636216689</v>
      </c>
      <c r="J80" s="21" t="str">
        <f>IF(A80="","",IF(A80&lt;=Calculator!C19,"IO","P&amp;I"))</f>
        <v>P&amp;I</v>
      </c>
    </row>
    <row r="81" spans="1:10" ht="15.75" customHeight="1" x14ac:dyDescent="0.25">
      <c r="A81" s="22">
        <f>IF(70&lt;=Calculator!C18,70,"")</f>
        <v>70</v>
      </c>
      <c r="B81" s="23">
        <f t="shared" si="8"/>
        <v>895498.98024235247</v>
      </c>
      <c r="C81" s="23">
        <f>IF(A81="","",IF(J81="IO",Calculator!C22,IF(B81&gt;0,MIN(Calculator!C21,B81*(1+Calculator!C17)),0)))</f>
        <v>7067.7919727509352</v>
      </c>
      <c r="D81" s="23">
        <f>IF(A81="","",IF(AND(J81="P&amp;I",A81&gt;=Calculator!C9),MIN(Calculator!C8,MAX(0,B81-C81+F81)),0))</f>
        <v>0</v>
      </c>
      <c r="E81" s="23">
        <f t="shared" si="5"/>
        <v>7067.7919727509352</v>
      </c>
      <c r="F81" s="23">
        <f>IF(A81="","",IF(Calculator!C12="Beginning of Period",MAX(0,(B81-IF(J81="IO",Calculator!C22,Calculator!C21))*Calculator!C17),B81*Calculator!C17))</f>
        <v>5223.7440514137443</v>
      </c>
      <c r="G81" s="23">
        <f t="shared" si="6"/>
        <v>1844.0479213371909</v>
      </c>
      <c r="H81" s="23">
        <f t="shared" si="7"/>
        <v>893654.93232101528</v>
      </c>
      <c r="I81" s="23">
        <f t="shared" si="9"/>
        <v>388400.37041358062</v>
      </c>
      <c r="J81" s="24" t="str">
        <f>IF(A81="","",IF(A81&lt;=Calculator!C19,"IO","P&amp;I"))</f>
        <v>P&amp;I</v>
      </c>
    </row>
    <row r="82" spans="1:10" ht="15.75" customHeight="1" x14ac:dyDescent="0.25">
      <c r="A82" s="19">
        <f>IF(71&lt;=Calculator!C18,71,"")</f>
        <v>71</v>
      </c>
      <c r="B82" s="20">
        <f t="shared" si="8"/>
        <v>893654.93232101528</v>
      </c>
      <c r="C82" s="20">
        <f>IF(A82="","",IF(J82="IO",Calculator!C22,IF(B82&gt;0,MIN(Calculator!C21,B82*(1+Calculator!C17)),0)))</f>
        <v>7067.7919727509352</v>
      </c>
      <c r="D82" s="20">
        <f>IF(A82="","",IF(AND(J82="P&amp;I",A82&gt;=Calculator!C9),MIN(Calculator!C8,MAX(0,B82-C82+F82)),0))</f>
        <v>0</v>
      </c>
      <c r="E82" s="20">
        <f t="shared" si="5"/>
        <v>7067.7919727509352</v>
      </c>
      <c r="F82" s="20">
        <f>IF(A82="","",IF(Calculator!C12="Beginning of Period",MAX(0,(B82-IF(J82="IO",Calculator!C22,Calculator!C21))*Calculator!C17),B82*Calculator!C17))</f>
        <v>5212.9871052059434</v>
      </c>
      <c r="G82" s="20">
        <f t="shared" si="6"/>
        <v>1854.8048675449918</v>
      </c>
      <c r="H82" s="20">
        <f t="shared" si="7"/>
        <v>891800.12745347025</v>
      </c>
      <c r="I82" s="20">
        <f t="shared" si="9"/>
        <v>393613.35751878656</v>
      </c>
      <c r="J82" s="21" t="str">
        <f>IF(A82="","",IF(A82&lt;=Calculator!C19,"IO","P&amp;I"))</f>
        <v>P&amp;I</v>
      </c>
    </row>
    <row r="83" spans="1:10" ht="15.75" customHeight="1" x14ac:dyDescent="0.25">
      <c r="A83" s="22">
        <f>IF(72&lt;=Calculator!C18,72,"")</f>
        <v>72</v>
      </c>
      <c r="B83" s="23">
        <f t="shared" si="8"/>
        <v>891800.12745347025</v>
      </c>
      <c r="C83" s="23">
        <f>IF(A83="","",IF(J83="IO",Calculator!C22,IF(B83&gt;0,MIN(Calculator!C21,B83*(1+Calculator!C17)),0)))</f>
        <v>7067.7919727509352</v>
      </c>
      <c r="D83" s="23">
        <f>IF(A83="","",IF(AND(J83="P&amp;I",A83&gt;=Calculator!C9),MIN(Calculator!C8,MAX(0,B83-C83+F83)),0))</f>
        <v>0</v>
      </c>
      <c r="E83" s="23">
        <f t="shared" si="5"/>
        <v>7067.7919727509352</v>
      </c>
      <c r="F83" s="23">
        <f>IF(A83="","",IF(Calculator!C12="Beginning of Period",MAX(0,(B83-IF(J83="IO",Calculator!C22,Calculator!C21))*Calculator!C17),B83*Calculator!C17))</f>
        <v>5202.1674101452645</v>
      </c>
      <c r="G83" s="23">
        <f t="shared" si="6"/>
        <v>1865.6245626056707</v>
      </c>
      <c r="H83" s="23">
        <f t="shared" si="7"/>
        <v>889934.50289086462</v>
      </c>
      <c r="I83" s="23">
        <f t="shared" si="9"/>
        <v>398815.52492893185</v>
      </c>
      <c r="J83" s="24" t="str">
        <f>IF(A83="","",IF(A83&lt;=Calculator!C19,"IO","P&amp;I"))</f>
        <v>P&amp;I</v>
      </c>
    </row>
    <row r="84" spans="1:10" ht="15.75" customHeight="1" x14ac:dyDescent="0.25">
      <c r="A84" s="19">
        <f>IF(73&lt;=Calculator!C18,73,"")</f>
        <v>73</v>
      </c>
      <c r="B84" s="20">
        <f t="shared" si="8"/>
        <v>889934.50289086462</v>
      </c>
      <c r="C84" s="20">
        <f>IF(A84="","",IF(J84="IO",Calculator!C22,IF(B84&gt;0,MIN(Calculator!C21,B84*(1+Calculator!C17)),0)))</f>
        <v>7067.7919727509352</v>
      </c>
      <c r="D84" s="20">
        <f>IF(A84="","",IF(AND(J84="P&amp;I",A84&gt;=Calculator!C9),MIN(Calculator!C8,MAX(0,B84-C84+F84)),0))</f>
        <v>0</v>
      </c>
      <c r="E84" s="20">
        <f t="shared" si="5"/>
        <v>7067.7919727509352</v>
      </c>
      <c r="F84" s="20">
        <f>IF(A84="","",IF(Calculator!C12="Beginning of Period",MAX(0,(B84-IF(J84="IO",Calculator!C22,Calculator!C21))*Calculator!C17),B84*Calculator!C17))</f>
        <v>5191.2846001967309</v>
      </c>
      <c r="G84" s="20">
        <f t="shared" si="6"/>
        <v>1876.5073725542043</v>
      </c>
      <c r="H84" s="20">
        <f t="shared" si="7"/>
        <v>888057.99551831046</v>
      </c>
      <c r="I84" s="20">
        <f t="shared" si="9"/>
        <v>404006.8095291286</v>
      </c>
      <c r="J84" s="21" t="str">
        <f>IF(A84="","",IF(A84&lt;=Calculator!C19,"IO","P&amp;I"))</f>
        <v>P&amp;I</v>
      </c>
    </row>
    <row r="85" spans="1:10" ht="15.75" customHeight="1" x14ac:dyDescent="0.25">
      <c r="A85" s="22">
        <f>IF(74&lt;=Calculator!C18,74,"")</f>
        <v>74</v>
      </c>
      <c r="B85" s="23">
        <f t="shared" si="8"/>
        <v>888057.99551831046</v>
      </c>
      <c r="C85" s="23">
        <f>IF(A85="","",IF(J85="IO",Calculator!C22,IF(B85&gt;0,MIN(Calculator!C21,B85*(1+Calculator!C17)),0)))</f>
        <v>7067.7919727509352</v>
      </c>
      <c r="D85" s="23">
        <f>IF(A85="","",IF(AND(J85="P&amp;I",A85&gt;=Calculator!C9),MIN(Calculator!C8,MAX(0,B85-C85+F85)),0))</f>
        <v>0</v>
      </c>
      <c r="E85" s="23">
        <f t="shared" si="5"/>
        <v>7067.7919727509352</v>
      </c>
      <c r="F85" s="23">
        <f>IF(A85="","",IF(Calculator!C12="Beginning of Period",MAX(0,(B85-IF(J85="IO",Calculator!C22,Calculator!C21))*Calculator!C17),B85*Calculator!C17))</f>
        <v>5180.3383071901653</v>
      </c>
      <c r="G85" s="23">
        <f t="shared" si="6"/>
        <v>1887.4536655607699</v>
      </c>
      <c r="H85" s="23">
        <f t="shared" si="7"/>
        <v>886170.54185274965</v>
      </c>
      <c r="I85" s="23">
        <f t="shared" si="9"/>
        <v>409187.14783631876</v>
      </c>
      <c r="J85" s="24" t="str">
        <f>IF(A85="","",IF(A85&lt;=Calculator!C19,"IO","P&amp;I"))</f>
        <v>P&amp;I</v>
      </c>
    </row>
    <row r="86" spans="1:10" ht="15.75" customHeight="1" x14ac:dyDescent="0.25">
      <c r="A86" s="19">
        <f>IF(75&lt;=Calculator!C18,75,"")</f>
        <v>75</v>
      </c>
      <c r="B86" s="20">
        <f t="shared" si="8"/>
        <v>886170.54185274965</v>
      </c>
      <c r="C86" s="20">
        <f>IF(A86="","",IF(J86="IO",Calculator!C22,IF(B86&gt;0,MIN(Calculator!C21,B86*(1+Calculator!C17)),0)))</f>
        <v>7067.7919727509352</v>
      </c>
      <c r="D86" s="20">
        <f>IF(A86="","",IF(AND(J86="P&amp;I",A86&gt;=Calculator!C9),MIN(Calculator!C8,MAX(0,B86-C86+F86)),0))</f>
        <v>0</v>
      </c>
      <c r="E86" s="20">
        <f t="shared" si="5"/>
        <v>7067.7919727509352</v>
      </c>
      <c r="F86" s="20">
        <f>IF(A86="","",IF(Calculator!C12="Beginning of Period",MAX(0,(B86-IF(J86="IO",Calculator!C22,Calculator!C21))*Calculator!C17),B86*Calculator!C17))</f>
        <v>5169.3281608077277</v>
      </c>
      <c r="G86" s="20">
        <f t="shared" si="6"/>
        <v>1898.4638119432075</v>
      </c>
      <c r="H86" s="20">
        <f t="shared" si="7"/>
        <v>884272.07804080646</v>
      </c>
      <c r="I86" s="20">
        <f t="shared" si="9"/>
        <v>414356.47599712649</v>
      </c>
      <c r="J86" s="21" t="str">
        <f>IF(A86="","",IF(A86&lt;=Calculator!C19,"IO","P&amp;I"))</f>
        <v>P&amp;I</v>
      </c>
    </row>
    <row r="87" spans="1:10" ht="15.75" customHeight="1" x14ac:dyDescent="0.25">
      <c r="A87" s="22">
        <f>IF(76&lt;=Calculator!C18,76,"")</f>
        <v>76</v>
      </c>
      <c r="B87" s="23">
        <f t="shared" si="8"/>
        <v>884272.07804080646</v>
      </c>
      <c r="C87" s="23">
        <f>IF(A87="","",IF(J87="IO",Calculator!C22,IF(B87&gt;0,MIN(Calculator!C21,B87*(1+Calculator!C17)),0)))</f>
        <v>7067.7919727509352</v>
      </c>
      <c r="D87" s="23">
        <f>IF(A87="","",IF(AND(J87="P&amp;I",A87&gt;=Calculator!C9),MIN(Calculator!C8,MAX(0,B87-C87+F87)),0))</f>
        <v>0</v>
      </c>
      <c r="E87" s="23">
        <f t="shared" si="5"/>
        <v>7067.7919727509352</v>
      </c>
      <c r="F87" s="23">
        <f>IF(A87="","",IF(Calculator!C12="Beginning of Period",MAX(0,(B87-IF(J87="IO",Calculator!C22,Calculator!C21))*Calculator!C17),B87*Calculator!C17))</f>
        <v>5158.2537885713919</v>
      </c>
      <c r="G87" s="23">
        <f t="shared" si="6"/>
        <v>1909.5381841795434</v>
      </c>
      <c r="H87" s="23">
        <f t="shared" si="7"/>
        <v>882362.53985662689</v>
      </c>
      <c r="I87" s="23">
        <f t="shared" si="9"/>
        <v>419514.72978569788</v>
      </c>
      <c r="J87" s="24" t="str">
        <f>IF(A87="","",IF(A87&lt;=Calculator!C19,"IO","P&amp;I"))</f>
        <v>P&amp;I</v>
      </c>
    </row>
    <row r="88" spans="1:10" ht="15.75" customHeight="1" x14ac:dyDescent="0.25">
      <c r="A88" s="19">
        <f>IF(77&lt;=Calculator!C18,77,"")</f>
        <v>77</v>
      </c>
      <c r="B88" s="20">
        <f t="shared" si="8"/>
        <v>882362.53985662689</v>
      </c>
      <c r="C88" s="20">
        <f>IF(A88="","",IF(J88="IO",Calculator!C22,IF(B88&gt;0,MIN(Calculator!C21,B88*(1+Calculator!C17)),0)))</f>
        <v>7067.7919727509352</v>
      </c>
      <c r="D88" s="20">
        <f>IF(A88="","",IF(AND(J88="P&amp;I",A88&gt;=Calculator!C9),MIN(Calculator!C8,MAX(0,B88-C88+F88)),0))</f>
        <v>0</v>
      </c>
      <c r="E88" s="20">
        <f t="shared" si="5"/>
        <v>7067.7919727509352</v>
      </c>
      <c r="F88" s="20">
        <f>IF(A88="","",IF(Calculator!C12="Beginning of Period",MAX(0,(B88-IF(J88="IO",Calculator!C22,Calculator!C21))*Calculator!C17),B88*Calculator!C17))</f>
        <v>5147.114815830344</v>
      </c>
      <c r="G88" s="20">
        <f t="shared" si="6"/>
        <v>1920.6771569205912</v>
      </c>
      <c r="H88" s="20">
        <f t="shared" si="7"/>
        <v>880441.86269970634</v>
      </c>
      <c r="I88" s="20">
        <f t="shared" si="9"/>
        <v>424661.84460152825</v>
      </c>
      <c r="J88" s="21" t="str">
        <f>IF(A88="","",IF(A88&lt;=Calculator!C19,"IO","P&amp;I"))</f>
        <v>P&amp;I</v>
      </c>
    </row>
    <row r="89" spans="1:10" ht="15.75" customHeight="1" x14ac:dyDescent="0.25">
      <c r="A89" s="22">
        <f>IF(78&lt;=Calculator!C18,78,"")</f>
        <v>78</v>
      </c>
      <c r="B89" s="23">
        <f t="shared" si="8"/>
        <v>880441.86269970634</v>
      </c>
      <c r="C89" s="23">
        <f>IF(A89="","",IF(J89="IO",Calculator!C22,IF(B89&gt;0,MIN(Calculator!C21,B89*(1+Calculator!C17)),0)))</f>
        <v>7067.7919727509352</v>
      </c>
      <c r="D89" s="23">
        <f>IF(A89="","",IF(AND(J89="P&amp;I",A89&gt;=Calculator!C9),MIN(Calculator!C8,MAX(0,B89-C89+F89)),0))</f>
        <v>0</v>
      </c>
      <c r="E89" s="23">
        <f t="shared" si="5"/>
        <v>7067.7919727509352</v>
      </c>
      <c r="F89" s="23">
        <f>IF(A89="","",IF(Calculator!C12="Beginning of Period",MAX(0,(B89-IF(J89="IO",Calculator!C22,Calculator!C21))*Calculator!C17),B89*Calculator!C17))</f>
        <v>5135.9108657483075</v>
      </c>
      <c r="G89" s="23">
        <f t="shared" si="6"/>
        <v>1931.8811070026277</v>
      </c>
      <c r="H89" s="23">
        <f t="shared" si="7"/>
        <v>878509.98159270373</v>
      </c>
      <c r="I89" s="23">
        <f t="shared" si="9"/>
        <v>429797.75546727655</v>
      </c>
      <c r="J89" s="24" t="str">
        <f>IF(A89="","",IF(A89&lt;=Calculator!C19,"IO","P&amp;I"))</f>
        <v>P&amp;I</v>
      </c>
    </row>
    <row r="90" spans="1:10" ht="15.75" customHeight="1" x14ac:dyDescent="0.25">
      <c r="A90" s="19">
        <f>IF(79&lt;=Calculator!C18,79,"")</f>
        <v>79</v>
      </c>
      <c r="B90" s="20">
        <f t="shared" si="8"/>
        <v>878509.98159270373</v>
      </c>
      <c r="C90" s="20">
        <f>IF(A90="","",IF(J90="IO",Calculator!C22,IF(B90&gt;0,MIN(Calculator!C21,B90*(1+Calculator!C17)),0)))</f>
        <v>7067.7919727509352</v>
      </c>
      <c r="D90" s="20">
        <f>IF(A90="","",IF(AND(J90="P&amp;I",A90&gt;=Calculator!C9),MIN(Calculator!C8,MAX(0,B90-C90+F90)),0))</f>
        <v>0</v>
      </c>
      <c r="E90" s="20">
        <f t="shared" si="5"/>
        <v>7067.7919727509352</v>
      </c>
      <c r="F90" s="20">
        <f>IF(A90="","",IF(Calculator!C12="Beginning of Period",MAX(0,(B90-IF(J90="IO",Calculator!C22,Calculator!C21))*Calculator!C17),B90*Calculator!C17))</f>
        <v>5124.6415592907924</v>
      </c>
      <c r="G90" s="20">
        <f t="shared" si="6"/>
        <v>1943.1504134601428</v>
      </c>
      <c r="H90" s="20">
        <f t="shared" si="7"/>
        <v>876566.83117924363</v>
      </c>
      <c r="I90" s="20">
        <f t="shared" si="9"/>
        <v>434922.39702656737</v>
      </c>
      <c r="J90" s="21" t="str">
        <f>IF(A90="","",IF(A90&lt;=Calculator!C19,"IO","P&amp;I"))</f>
        <v>P&amp;I</v>
      </c>
    </row>
    <row r="91" spans="1:10" ht="15.75" customHeight="1" x14ac:dyDescent="0.25">
      <c r="A91" s="22">
        <f>IF(80&lt;=Calculator!C18,80,"")</f>
        <v>80</v>
      </c>
      <c r="B91" s="23">
        <f t="shared" si="8"/>
        <v>876566.83117924363</v>
      </c>
      <c r="C91" s="23">
        <f>IF(A91="","",IF(J91="IO",Calculator!C22,IF(B91&gt;0,MIN(Calculator!C21,B91*(1+Calculator!C17)),0)))</f>
        <v>7067.7919727509352</v>
      </c>
      <c r="D91" s="23">
        <f>IF(A91="","",IF(AND(J91="P&amp;I",A91&gt;=Calculator!C9),MIN(Calculator!C8,MAX(0,B91-C91+F91)),0))</f>
        <v>0</v>
      </c>
      <c r="E91" s="23">
        <f t="shared" si="5"/>
        <v>7067.7919727509352</v>
      </c>
      <c r="F91" s="23">
        <f>IF(A91="","",IF(Calculator!C12="Beginning of Period",MAX(0,(B91-IF(J91="IO",Calculator!C22,Calculator!C21))*Calculator!C17),B91*Calculator!C17))</f>
        <v>5113.3065152122754</v>
      </c>
      <c r="G91" s="23">
        <f t="shared" si="6"/>
        <v>1954.4854575386598</v>
      </c>
      <c r="H91" s="23">
        <f t="shared" si="7"/>
        <v>874612.345721705</v>
      </c>
      <c r="I91" s="23">
        <f t="shared" si="9"/>
        <v>440035.70354177966</v>
      </c>
      <c r="J91" s="24" t="str">
        <f>IF(A91="","",IF(A91&lt;=Calculator!C19,"IO","P&amp;I"))</f>
        <v>P&amp;I</v>
      </c>
    </row>
    <row r="92" spans="1:10" ht="15.75" customHeight="1" x14ac:dyDescent="0.25">
      <c r="A92" s="19">
        <f>IF(81&lt;=Calculator!C18,81,"")</f>
        <v>81</v>
      </c>
      <c r="B92" s="20">
        <f t="shared" si="8"/>
        <v>874612.345721705</v>
      </c>
      <c r="C92" s="20">
        <f>IF(A92="","",IF(J92="IO",Calculator!C22,IF(B92&gt;0,MIN(Calculator!C21,B92*(1+Calculator!C17)),0)))</f>
        <v>7067.7919727509352</v>
      </c>
      <c r="D92" s="20">
        <f>IF(A92="","",IF(AND(J92="P&amp;I",A92&gt;=Calculator!C9),MIN(Calculator!C8,MAX(0,B92-C92+F92)),0))</f>
        <v>0</v>
      </c>
      <c r="E92" s="20">
        <f t="shared" si="5"/>
        <v>7067.7919727509352</v>
      </c>
      <c r="F92" s="20">
        <f>IF(A92="","",IF(Calculator!C12="Beginning of Period",MAX(0,(B92-IF(J92="IO",Calculator!C22,Calculator!C21))*Calculator!C17),B92*Calculator!C17))</f>
        <v>5101.9053500433001</v>
      </c>
      <c r="G92" s="20">
        <f t="shared" si="6"/>
        <v>1965.8866227076351</v>
      </c>
      <c r="H92" s="20">
        <f t="shared" si="7"/>
        <v>872646.45909899741</v>
      </c>
      <c r="I92" s="20">
        <f t="shared" si="9"/>
        <v>445137.60889182298</v>
      </c>
      <c r="J92" s="21" t="str">
        <f>IF(A92="","",IF(A92&lt;=Calculator!C19,"IO","P&amp;I"))</f>
        <v>P&amp;I</v>
      </c>
    </row>
    <row r="93" spans="1:10" ht="15.75" customHeight="1" x14ac:dyDescent="0.25">
      <c r="A93" s="22">
        <f>IF(82&lt;=Calculator!C18,82,"")</f>
        <v>82</v>
      </c>
      <c r="B93" s="23">
        <f t="shared" si="8"/>
        <v>872646.45909899741</v>
      </c>
      <c r="C93" s="23">
        <f>IF(A93="","",IF(J93="IO",Calculator!C22,IF(B93&gt;0,MIN(Calculator!C21,B93*(1+Calculator!C17)),0)))</f>
        <v>7067.7919727509352</v>
      </c>
      <c r="D93" s="23">
        <f>IF(A93="","",IF(AND(J93="P&amp;I",A93&gt;=Calculator!C9),MIN(Calculator!C8,MAX(0,B93-C93+F93)),0))</f>
        <v>0</v>
      </c>
      <c r="E93" s="23">
        <f t="shared" si="5"/>
        <v>7067.7919727509352</v>
      </c>
      <c r="F93" s="23">
        <f>IF(A93="","",IF(Calculator!C12="Beginning of Period",MAX(0,(B93-IF(J93="IO",Calculator!C22,Calculator!C21))*Calculator!C17),B93*Calculator!C17))</f>
        <v>5090.4376780775056</v>
      </c>
      <c r="G93" s="23">
        <f t="shared" si="6"/>
        <v>1977.3542946734296</v>
      </c>
      <c r="H93" s="23">
        <f t="shared" si="7"/>
        <v>870669.10480432399</v>
      </c>
      <c r="I93" s="23">
        <f t="shared" si="9"/>
        <v>450228.04656990047</v>
      </c>
      <c r="J93" s="24" t="str">
        <f>IF(A93="","",IF(A93&lt;=Calculator!C19,"IO","P&amp;I"))</f>
        <v>P&amp;I</v>
      </c>
    </row>
    <row r="94" spans="1:10" ht="15.75" customHeight="1" x14ac:dyDescent="0.25">
      <c r="A94" s="19">
        <f>IF(83&lt;=Calculator!C18,83,"")</f>
        <v>83</v>
      </c>
      <c r="B94" s="20">
        <f t="shared" si="8"/>
        <v>870669.10480432399</v>
      </c>
      <c r="C94" s="20">
        <f>IF(A94="","",IF(J94="IO",Calculator!C22,IF(B94&gt;0,MIN(Calculator!C21,B94*(1+Calculator!C17)),0)))</f>
        <v>7067.7919727509352</v>
      </c>
      <c r="D94" s="20">
        <f>IF(A94="","",IF(AND(J94="P&amp;I",A94&gt;=Calculator!C9),MIN(Calculator!C8,MAX(0,B94-C94+F94)),0))</f>
        <v>0</v>
      </c>
      <c r="E94" s="20">
        <f t="shared" si="5"/>
        <v>7067.7919727509352</v>
      </c>
      <c r="F94" s="20">
        <f>IF(A94="","",IF(Calculator!C12="Beginning of Period",MAX(0,(B94-IF(J94="IO",Calculator!C22,Calculator!C21))*Calculator!C17),B94*Calculator!C17))</f>
        <v>5078.903111358577</v>
      </c>
      <c r="G94" s="20">
        <f t="shared" si="6"/>
        <v>1988.8888613923582</v>
      </c>
      <c r="H94" s="20">
        <f t="shared" si="7"/>
        <v>868680.21594293159</v>
      </c>
      <c r="I94" s="20">
        <f t="shared" si="9"/>
        <v>455306.94968125905</v>
      </c>
      <c r="J94" s="21" t="str">
        <f>IF(A94="","",IF(A94&lt;=Calculator!C19,"IO","P&amp;I"))</f>
        <v>P&amp;I</v>
      </c>
    </row>
    <row r="95" spans="1:10" ht="15.75" customHeight="1" x14ac:dyDescent="0.25">
      <c r="A95" s="22">
        <f>IF(84&lt;=Calculator!C18,84,"")</f>
        <v>84</v>
      </c>
      <c r="B95" s="23">
        <f t="shared" si="8"/>
        <v>868680.21594293159</v>
      </c>
      <c r="C95" s="23">
        <f>IF(A95="","",IF(J95="IO",Calculator!C22,IF(B95&gt;0,MIN(Calculator!C21,B95*(1+Calculator!C17)),0)))</f>
        <v>7067.7919727509352</v>
      </c>
      <c r="D95" s="23">
        <f>IF(A95="","",IF(AND(J95="P&amp;I",A95&gt;=Calculator!C9),MIN(Calculator!C8,MAX(0,B95-C95+F95)),0))</f>
        <v>0</v>
      </c>
      <c r="E95" s="23">
        <f t="shared" si="5"/>
        <v>7067.7919727509352</v>
      </c>
      <c r="F95" s="23">
        <f>IF(A95="","",IF(Calculator!C12="Beginning of Period",MAX(0,(B95-IF(J95="IO",Calculator!C22,Calculator!C21))*Calculator!C17),B95*Calculator!C17))</f>
        <v>5067.3012596671215</v>
      </c>
      <c r="G95" s="23">
        <f t="shared" si="6"/>
        <v>2000.4907130838137</v>
      </c>
      <c r="H95" s="23">
        <f t="shared" si="7"/>
        <v>866679.72522984783</v>
      </c>
      <c r="I95" s="23">
        <f t="shared" si="9"/>
        <v>460374.2509409262</v>
      </c>
      <c r="J95" s="24" t="str">
        <f>IF(A95="","",IF(A95&lt;=Calculator!C19,"IO","P&amp;I"))</f>
        <v>P&amp;I</v>
      </c>
    </row>
    <row r="96" spans="1:10" ht="15.75" customHeight="1" x14ac:dyDescent="0.25">
      <c r="A96" s="19">
        <f>IF(85&lt;=Calculator!C18,85,"")</f>
        <v>85</v>
      </c>
      <c r="B96" s="20">
        <f t="shared" si="8"/>
        <v>866679.72522984783</v>
      </c>
      <c r="C96" s="20">
        <f>IF(A96="","",IF(J96="IO",Calculator!C22,IF(B96&gt;0,MIN(Calculator!C21,B96*(1+Calculator!C17)),0)))</f>
        <v>7067.7919727509352</v>
      </c>
      <c r="D96" s="20">
        <f>IF(A96="","",IF(AND(J96="P&amp;I",A96&gt;=Calculator!C9),MIN(Calculator!C8,MAX(0,B96-C96+F96)),0))</f>
        <v>0</v>
      </c>
      <c r="E96" s="20">
        <f t="shared" si="5"/>
        <v>7067.7919727509352</v>
      </c>
      <c r="F96" s="20">
        <f>IF(A96="","",IF(Calculator!C12="Beginning of Period",MAX(0,(B96-IF(J96="IO",Calculator!C22,Calculator!C21))*Calculator!C17),B96*Calculator!C17))</f>
        <v>5055.6317305074663</v>
      </c>
      <c r="G96" s="20">
        <f t="shared" si="6"/>
        <v>2012.1602422434689</v>
      </c>
      <c r="H96" s="20">
        <f t="shared" si="7"/>
        <v>864667.56498760439</v>
      </c>
      <c r="I96" s="20">
        <f t="shared" si="9"/>
        <v>465429.88267143368</v>
      </c>
      <c r="J96" s="21" t="str">
        <f>IF(A96="","",IF(A96&lt;=Calculator!C19,"IO","P&amp;I"))</f>
        <v>P&amp;I</v>
      </c>
    </row>
    <row r="97" spans="1:10" ht="15.75" customHeight="1" x14ac:dyDescent="0.25">
      <c r="A97" s="22">
        <f>IF(86&lt;=Calculator!C18,86,"")</f>
        <v>86</v>
      </c>
      <c r="B97" s="23">
        <f t="shared" si="8"/>
        <v>864667.56498760439</v>
      </c>
      <c r="C97" s="23">
        <f>IF(A97="","",IF(J97="IO",Calculator!C22,IF(B97&gt;0,MIN(Calculator!C21,B97*(1+Calculator!C17)),0)))</f>
        <v>7067.7919727509352</v>
      </c>
      <c r="D97" s="23">
        <f>IF(A97="","",IF(AND(J97="P&amp;I",A97&gt;=Calculator!C9),MIN(Calculator!C8,MAX(0,B97-C97+F97)),0))</f>
        <v>0</v>
      </c>
      <c r="E97" s="23">
        <f t="shared" si="5"/>
        <v>7067.7919727509352</v>
      </c>
      <c r="F97" s="23">
        <f>IF(A97="","",IF(Calculator!C12="Beginning of Period",MAX(0,(B97-IF(J97="IO",Calculator!C22,Calculator!C21))*Calculator!C17),B97*Calculator!C17))</f>
        <v>5043.8941290943794</v>
      </c>
      <c r="G97" s="23">
        <f t="shared" si="6"/>
        <v>2023.8978436565558</v>
      </c>
      <c r="H97" s="23">
        <f t="shared" si="7"/>
        <v>862643.66714394779</v>
      </c>
      <c r="I97" s="23">
        <f t="shared" si="9"/>
        <v>470473.77680052805</v>
      </c>
      <c r="J97" s="24" t="str">
        <f>IF(A97="","",IF(A97&lt;=Calculator!C19,"IO","P&amp;I"))</f>
        <v>P&amp;I</v>
      </c>
    </row>
    <row r="98" spans="1:10" ht="15.75" customHeight="1" x14ac:dyDescent="0.25">
      <c r="A98" s="19">
        <f>IF(87&lt;=Calculator!C18,87,"")</f>
        <v>87</v>
      </c>
      <c r="B98" s="20">
        <f t="shared" si="8"/>
        <v>862643.66714394779</v>
      </c>
      <c r="C98" s="20">
        <f>IF(A98="","",IF(J98="IO",Calculator!C22,IF(B98&gt;0,MIN(Calculator!C21,B98*(1+Calculator!C17)),0)))</f>
        <v>7067.7919727509352</v>
      </c>
      <c r="D98" s="20">
        <f>IF(A98="","",IF(AND(J98="P&amp;I",A98&gt;=Calculator!C9),MIN(Calculator!C8,MAX(0,B98-C98+F98)),0))</f>
        <v>0</v>
      </c>
      <c r="E98" s="20">
        <f t="shared" si="5"/>
        <v>7067.7919727509352</v>
      </c>
      <c r="F98" s="20">
        <f>IF(A98="","",IF(Calculator!C12="Beginning of Period",MAX(0,(B98-IF(J98="IO",Calculator!C22,Calculator!C21))*Calculator!C17),B98*Calculator!C17))</f>
        <v>5032.0880583397156</v>
      </c>
      <c r="G98" s="20">
        <f t="shared" si="6"/>
        <v>2035.7039144112196</v>
      </c>
      <c r="H98" s="20">
        <f t="shared" si="7"/>
        <v>860607.96322953654</v>
      </c>
      <c r="I98" s="20">
        <f t="shared" si="9"/>
        <v>475505.86485886778</v>
      </c>
      <c r="J98" s="21" t="str">
        <f>IF(A98="","",IF(A98&lt;=Calculator!C19,"IO","P&amp;I"))</f>
        <v>P&amp;I</v>
      </c>
    </row>
    <row r="99" spans="1:10" ht="15.75" customHeight="1" x14ac:dyDescent="0.25">
      <c r="A99" s="22">
        <f>IF(88&lt;=Calculator!C18,88,"")</f>
        <v>88</v>
      </c>
      <c r="B99" s="23">
        <f t="shared" si="8"/>
        <v>860607.96322953654</v>
      </c>
      <c r="C99" s="23">
        <f>IF(A99="","",IF(J99="IO",Calculator!C22,IF(B99&gt;0,MIN(Calculator!C21,B99*(1+Calculator!C17)),0)))</f>
        <v>7067.7919727509352</v>
      </c>
      <c r="D99" s="23">
        <f>IF(A99="","",IF(AND(J99="P&amp;I",A99&gt;=Calculator!C9),MIN(Calculator!C8,MAX(0,B99-C99+F99)),0))</f>
        <v>0</v>
      </c>
      <c r="E99" s="23">
        <f t="shared" si="5"/>
        <v>7067.7919727509352</v>
      </c>
      <c r="F99" s="23">
        <f>IF(A99="","",IF(Calculator!C12="Beginning of Period",MAX(0,(B99-IF(J99="IO",Calculator!C22,Calculator!C21))*Calculator!C17),B99*Calculator!C17))</f>
        <v>5020.213118838984</v>
      </c>
      <c r="G99" s="23">
        <f t="shared" si="6"/>
        <v>2047.5788539119512</v>
      </c>
      <c r="H99" s="23">
        <f t="shared" si="7"/>
        <v>858560.38437562459</v>
      </c>
      <c r="I99" s="23">
        <f t="shared" si="9"/>
        <v>480526.07797770674</v>
      </c>
      <c r="J99" s="24" t="str">
        <f>IF(A99="","",IF(A99&lt;=Calculator!C19,"IO","P&amp;I"))</f>
        <v>P&amp;I</v>
      </c>
    </row>
    <row r="100" spans="1:10" ht="15.75" customHeight="1" x14ac:dyDescent="0.25">
      <c r="A100" s="19">
        <f>IF(89&lt;=Calculator!C18,89,"")</f>
        <v>89</v>
      </c>
      <c r="B100" s="20">
        <f t="shared" si="8"/>
        <v>858560.38437562459</v>
      </c>
      <c r="C100" s="20">
        <f>IF(A100="","",IF(J100="IO",Calculator!C22,IF(B100&gt;0,MIN(Calculator!C21,B100*(1+Calculator!C17)),0)))</f>
        <v>7067.7919727509352</v>
      </c>
      <c r="D100" s="20">
        <f>IF(A100="","",IF(AND(J100="P&amp;I",A100&gt;=Calculator!C9),MIN(Calculator!C8,MAX(0,B100-C100+F100)),0))</f>
        <v>0</v>
      </c>
      <c r="E100" s="20">
        <f t="shared" si="5"/>
        <v>7067.7919727509352</v>
      </c>
      <c r="F100" s="20">
        <f>IF(A100="","",IF(Calculator!C12="Beginning of Period",MAX(0,(B100-IF(J100="IO",Calculator!C22,Calculator!C21))*Calculator!C17),B100*Calculator!C17))</f>
        <v>5008.2689088578309</v>
      </c>
      <c r="G100" s="20">
        <f t="shared" si="6"/>
        <v>2059.5230638931043</v>
      </c>
      <c r="H100" s="20">
        <f t="shared" si="7"/>
        <v>856500.86131173151</v>
      </c>
      <c r="I100" s="20">
        <f t="shared" si="9"/>
        <v>485534.34688656457</v>
      </c>
      <c r="J100" s="21" t="str">
        <f>IF(A100="","",IF(A100&lt;=Calculator!C19,"IO","P&amp;I"))</f>
        <v>P&amp;I</v>
      </c>
    </row>
    <row r="101" spans="1:10" ht="15.75" customHeight="1" x14ac:dyDescent="0.25">
      <c r="A101" s="22">
        <f>IF(90&lt;=Calculator!C18,90,"")</f>
        <v>90</v>
      </c>
      <c r="B101" s="23">
        <f t="shared" si="8"/>
        <v>856500.86131173151</v>
      </c>
      <c r="C101" s="23">
        <f>IF(A101="","",IF(J101="IO",Calculator!C22,IF(B101&gt;0,MIN(Calculator!C21,B101*(1+Calculator!C17)),0)))</f>
        <v>7067.7919727509352</v>
      </c>
      <c r="D101" s="23">
        <f>IF(A101="","",IF(AND(J101="P&amp;I",A101&gt;=Calculator!C9),MIN(Calculator!C8,MAX(0,B101-C101+F101)),0))</f>
        <v>0</v>
      </c>
      <c r="E101" s="23">
        <f t="shared" si="5"/>
        <v>7067.7919727509352</v>
      </c>
      <c r="F101" s="23">
        <f>IF(A101="","",IF(Calculator!C12="Beginning of Period",MAX(0,(B101-IF(J101="IO",Calculator!C22,Calculator!C21))*Calculator!C17),B101*Calculator!C17))</f>
        <v>4996.2550243184542</v>
      </c>
      <c r="G101" s="23">
        <f t="shared" si="6"/>
        <v>2071.536948432481</v>
      </c>
      <c r="H101" s="23">
        <f t="shared" si="7"/>
        <v>854429.32436329906</v>
      </c>
      <c r="I101" s="23">
        <f t="shared" si="9"/>
        <v>490530.60191088304</v>
      </c>
      <c r="J101" s="24" t="str">
        <f>IF(A101="","",IF(A101&lt;=Calculator!C19,"IO","P&amp;I"))</f>
        <v>P&amp;I</v>
      </c>
    </row>
    <row r="102" spans="1:10" ht="15.75" customHeight="1" x14ac:dyDescent="0.25">
      <c r="A102" s="19">
        <f>IF(91&lt;=Calculator!C18,91,"")</f>
        <v>91</v>
      </c>
      <c r="B102" s="20">
        <f t="shared" si="8"/>
        <v>854429.32436329906</v>
      </c>
      <c r="C102" s="20">
        <f>IF(A102="","",IF(J102="IO",Calculator!C22,IF(B102&gt;0,MIN(Calculator!C21,B102*(1+Calculator!C17)),0)))</f>
        <v>7067.7919727509352</v>
      </c>
      <c r="D102" s="20">
        <f>IF(A102="","",IF(AND(J102="P&amp;I",A102&gt;=Calculator!C9),MIN(Calculator!C8,MAX(0,B102-C102+F102)),0))</f>
        <v>0</v>
      </c>
      <c r="E102" s="20">
        <f t="shared" si="5"/>
        <v>7067.7919727509352</v>
      </c>
      <c r="F102" s="20">
        <f>IF(A102="","",IF(Calculator!C12="Beginning of Period",MAX(0,(B102-IF(J102="IO",Calculator!C22,Calculator!C21))*Calculator!C17),B102*Calculator!C17))</f>
        <v>4984.1710587859316</v>
      </c>
      <c r="G102" s="20">
        <f t="shared" si="6"/>
        <v>2083.6209139650036</v>
      </c>
      <c r="H102" s="20">
        <f t="shared" si="7"/>
        <v>852345.70344933402</v>
      </c>
      <c r="I102" s="20">
        <f t="shared" si="9"/>
        <v>495514.77296966896</v>
      </c>
      <c r="J102" s="21" t="str">
        <f>IF(A102="","",IF(A102&lt;=Calculator!C19,"IO","P&amp;I"))</f>
        <v>P&amp;I</v>
      </c>
    </row>
    <row r="103" spans="1:10" ht="15.75" customHeight="1" x14ac:dyDescent="0.25">
      <c r="A103" s="22">
        <f>IF(92&lt;=Calculator!C18,92,"")</f>
        <v>92</v>
      </c>
      <c r="B103" s="23">
        <f t="shared" si="8"/>
        <v>852345.70344933402</v>
      </c>
      <c r="C103" s="23">
        <f>IF(A103="","",IF(J103="IO",Calculator!C22,IF(B103&gt;0,MIN(Calculator!C21,B103*(1+Calculator!C17)),0)))</f>
        <v>7067.7919727509352</v>
      </c>
      <c r="D103" s="23">
        <f>IF(A103="","",IF(AND(J103="P&amp;I",A103&gt;=Calculator!C9),MIN(Calculator!C8,MAX(0,B103-C103+F103)),0))</f>
        <v>0</v>
      </c>
      <c r="E103" s="23">
        <f t="shared" si="5"/>
        <v>7067.7919727509352</v>
      </c>
      <c r="F103" s="23">
        <f>IF(A103="","",IF(Calculator!C12="Beginning of Period",MAX(0,(B103-IF(J103="IO",Calculator!C22,Calculator!C21))*Calculator!C17),B103*Calculator!C17))</f>
        <v>4972.0166034544691</v>
      </c>
      <c r="G103" s="23">
        <f t="shared" si="6"/>
        <v>2095.7753692964661</v>
      </c>
      <c r="H103" s="23">
        <f t="shared" si="7"/>
        <v>850249.92808003759</v>
      </c>
      <c r="I103" s="23">
        <f t="shared" si="9"/>
        <v>500486.78957312345</v>
      </c>
      <c r="J103" s="24" t="str">
        <f>IF(A103="","",IF(A103&lt;=Calculator!C19,"IO","P&amp;I"))</f>
        <v>P&amp;I</v>
      </c>
    </row>
    <row r="104" spans="1:10" ht="15.75" customHeight="1" x14ac:dyDescent="0.25">
      <c r="A104" s="19">
        <f>IF(93&lt;=Calculator!C18,93,"")</f>
        <v>93</v>
      </c>
      <c r="B104" s="20">
        <f t="shared" si="8"/>
        <v>850249.92808003759</v>
      </c>
      <c r="C104" s="20">
        <f>IF(A104="","",IF(J104="IO",Calculator!C22,IF(B104&gt;0,MIN(Calculator!C21,B104*(1+Calculator!C17)),0)))</f>
        <v>7067.7919727509352</v>
      </c>
      <c r="D104" s="20">
        <f>IF(A104="","",IF(AND(J104="P&amp;I",A104&gt;=Calculator!C9),MIN(Calculator!C8,MAX(0,B104-C104+F104)),0))</f>
        <v>0</v>
      </c>
      <c r="E104" s="20">
        <f t="shared" si="5"/>
        <v>7067.7919727509352</v>
      </c>
      <c r="F104" s="20">
        <f>IF(A104="","",IF(Calculator!C12="Beginning of Period",MAX(0,(B104-IF(J104="IO",Calculator!C22,Calculator!C21))*Calculator!C17),B104*Calculator!C17))</f>
        <v>4959.7912471335731</v>
      </c>
      <c r="G104" s="20">
        <f t="shared" si="6"/>
        <v>2108.0007256173621</v>
      </c>
      <c r="H104" s="20">
        <f t="shared" si="7"/>
        <v>848141.92735442019</v>
      </c>
      <c r="I104" s="20">
        <f t="shared" si="9"/>
        <v>505446.58082025702</v>
      </c>
      <c r="J104" s="21" t="str">
        <f>IF(A104="","",IF(A104&lt;=Calculator!C19,"IO","P&amp;I"))</f>
        <v>P&amp;I</v>
      </c>
    </row>
    <row r="105" spans="1:10" ht="15.75" customHeight="1" x14ac:dyDescent="0.25">
      <c r="A105" s="22">
        <f>IF(94&lt;=Calculator!C18,94,"")</f>
        <v>94</v>
      </c>
      <c r="B105" s="23">
        <f t="shared" si="8"/>
        <v>848141.92735442019</v>
      </c>
      <c r="C105" s="23">
        <f>IF(A105="","",IF(J105="IO",Calculator!C22,IF(B105&gt;0,MIN(Calculator!C21,B105*(1+Calculator!C17)),0)))</f>
        <v>7067.7919727509352</v>
      </c>
      <c r="D105" s="23">
        <f>IF(A105="","",IF(AND(J105="P&amp;I",A105&gt;=Calculator!C9),MIN(Calculator!C8,MAX(0,B105-C105+F105)),0))</f>
        <v>0</v>
      </c>
      <c r="E105" s="23">
        <f t="shared" si="5"/>
        <v>7067.7919727509352</v>
      </c>
      <c r="F105" s="23">
        <f>IF(A105="","",IF(Calculator!C12="Beginning of Period",MAX(0,(B105-IF(J105="IO",Calculator!C22,Calculator!C21))*Calculator!C17),B105*Calculator!C17))</f>
        <v>4947.4945762341376</v>
      </c>
      <c r="G105" s="23">
        <f t="shared" si="6"/>
        <v>2120.2973965167976</v>
      </c>
      <c r="H105" s="23">
        <f t="shared" si="7"/>
        <v>846021.62995790341</v>
      </c>
      <c r="I105" s="23">
        <f t="shared" si="9"/>
        <v>510394.07539649116</v>
      </c>
      <c r="J105" s="24" t="str">
        <f>IF(A105="","",IF(A105&lt;=Calculator!C19,"IO","P&amp;I"))</f>
        <v>P&amp;I</v>
      </c>
    </row>
    <row r="106" spans="1:10" ht="15.75" customHeight="1" x14ac:dyDescent="0.25">
      <c r="A106" s="19">
        <f>IF(95&lt;=Calculator!C18,95,"")</f>
        <v>95</v>
      </c>
      <c r="B106" s="20">
        <f t="shared" si="8"/>
        <v>846021.62995790341</v>
      </c>
      <c r="C106" s="20">
        <f>IF(A106="","",IF(J106="IO",Calculator!C22,IF(B106&gt;0,MIN(Calculator!C21,B106*(1+Calculator!C17)),0)))</f>
        <v>7067.7919727509352</v>
      </c>
      <c r="D106" s="20">
        <f>IF(A106="","",IF(AND(J106="P&amp;I",A106&gt;=Calculator!C9),MIN(Calculator!C8,MAX(0,B106-C106+F106)),0))</f>
        <v>0</v>
      </c>
      <c r="E106" s="20">
        <f t="shared" si="5"/>
        <v>7067.7919727509352</v>
      </c>
      <c r="F106" s="20">
        <f>IF(A106="","",IF(Calculator!C12="Beginning of Period",MAX(0,(B106-IF(J106="IO",Calculator!C22,Calculator!C21))*Calculator!C17),B106*Calculator!C17))</f>
        <v>4935.1261747544568</v>
      </c>
      <c r="G106" s="20">
        <f t="shared" si="6"/>
        <v>2132.6657979964784</v>
      </c>
      <c r="H106" s="20">
        <f t="shared" si="7"/>
        <v>843888.96415990696</v>
      </c>
      <c r="I106" s="20">
        <f t="shared" si="9"/>
        <v>515329.20157124562</v>
      </c>
      <c r="J106" s="21" t="str">
        <f>IF(A106="","",IF(A106&lt;=Calculator!C19,"IO","P&amp;I"))</f>
        <v>P&amp;I</v>
      </c>
    </row>
    <row r="107" spans="1:10" ht="15.75" customHeight="1" x14ac:dyDescent="0.25">
      <c r="A107" s="22">
        <f>IF(96&lt;=Calculator!C18,96,"")</f>
        <v>96</v>
      </c>
      <c r="B107" s="23">
        <f t="shared" si="8"/>
        <v>843888.96415990696</v>
      </c>
      <c r="C107" s="23">
        <f>IF(A107="","",IF(J107="IO",Calculator!C22,IF(B107&gt;0,MIN(Calculator!C21,B107*(1+Calculator!C17)),0)))</f>
        <v>7067.7919727509352</v>
      </c>
      <c r="D107" s="23">
        <f>IF(A107="","",IF(AND(J107="P&amp;I",A107&gt;=Calculator!C9),MIN(Calculator!C8,MAX(0,B107-C107+F107)),0))</f>
        <v>0</v>
      </c>
      <c r="E107" s="23">
        <f t="shared" si="5"/>
        <v>7067.7919727509352</v>
      </c>
      <c r="F107" s="23">
        <f>IF(A107="","",IF(Calculator!C12="Beginning of Period",MAX(0,(B107-IF(J107="IO",Calculator!C22,Calculator!C21))*Calculator!C17),B107*Calculator!C17))</f>
        <v>4922.6856242661443</v>
      </c>
      <c r="G107" s="23">
        <f t="shared" si="6"/>
        <v>2145.1063484847909</v>
      </c>
      <c r="H107" s="23">
        <f t="shared" si="7"/>
        <v>841743.8578114222</v>
      </c>
      <c r="I107" s="23">
        <f t="shared" si="9"/>
        <v>520251.88719551178</v>
      </c>
      <c r="J107" s="24" t="str">
        <f>IF(A107="","",IF(A107&lt;=Calculator!C19,"IO","P&amp;I"))</f>
        <v>P&amp;I</v>
      </c>
    </row>
    <row r="108" spans="1:10" ht="15.75" customHeight="1" x14ac:dyDescent="0.25">
      <c r="A108" s="19">
        <f>IF(97&lt;=Calculator!C18,97,"")</f>
        <v>97</v>
      </c>
      <c r="B108" s="20">
        <f t="shared" si="8"/>
        <v>841743.8578114222</v>
      </c>
      <c r="C108" s="20">
        <f>IF(A108="","",IF(J108="IO",Calculator!C22,IF(B108&gt;0,MIN(Calculator!C21,B108*(1+Calculator!C17)),0)))</f>
        <v>7067.7919727509352</v>
      </c>
      <c r="D108" s="20">
        <f>IF(A108="","",IF(AND(J108="P&amp;I",A108&gt;=Calculator!C9),MIN(Calculator!C8,MAX(0,B108-C108+F108)),0))</f>
        <v>0</v>
      </c>
      <c r="E108" s="20">
        <f t="shared" si="5"/>
        <v>7067.7919727509352</v>
      </c>
      <c r="F108" s="20">
        <f>IF(A108="","",IF(Calculator!C12="Beginning of Period",MAX(0,(B108-IF(J108="IO",Calculator!C22,Calculator!C21))*Calculator!C17),B108*Calculator!C17))</f>
        <v>4910.172503899983</v>
      </c>
      <c r="G108" s="20">
        <f t="shared" si="6"/>
        <v>2157.6194688509522</v>
      </c>
      <c r="H108" s="20">
        <f t="shared" si="7"/>
        <v>839586.23834257131</v>
      </c>
      <c r="I108" s="20">
        <f t="shared" si="9"/>
        <v>525162.05969941174</v>
      </c>
      <c r="J108" s="21" t="str">
        <f>IF(A108="","",IF(A108&lt;=Calculator!C19,"IO","P&amp;I"))</f>
        <v>P&amp;I</v>
      </c>
    </row>
    <row r="109" spans="1:10" ht="15.75" customHeight="1" x14ac:dyDescent="0.25">
      <c r="A109" s="22">
        <f>IF(98&lt;=Calculator!C18,98,"")</f>
        <v>98</v>
      </c>
      <c r="B109" s="23">
        <f t="shared" si="8"/>
        <v>839586.23834257131</v>
      </c>
      <c r="C109" s="23">
        <f>IF(A109="","",IF(J109="IO",Calculator!C22,IF(B109&gt;0,MIN(Calculator!C21,B109*(1+Calculator!C17)),0)))</f>
        <v>7067.7919727509352</v>
      </c>
      <c r="D109" s="23">
        <f>IF(A109="","",IF(AND(J109="P&amp;I",A109&gt;=Calculator!C9),MIN(Calculator!C8,MAX(0,B109-C109+F109)),0))</f>
        <v>0</v>
      </c>
      <c r="E109" s="23">
        <f t="shared" si="5"/>
        <v>7067.7919727509352</v>
      </c>
      <c r="F109" s="23">
        <f>IF(A109="","",IF(Calculator!C12="Beginning of Period",MAX(0,(B109-IF(J109="IO",Calculator!C22,Calculator!C21))*Calculator!C17),B109*Calculator!C17))</f>
        <v>4897.5863903316858</v>
      </c>
      <c r="G109" s="23">
        <f t="shared" si="6"/>
        <v>2170.2055824192494</v>
      </c>
      <c r="H109" s="23">
        <f t="shared" si="7"/>
        <v>837416.03276015201</v>
      </c>
      <c r="I109" s="23">
        <f t="shared" si="9"/>
        <v>530059.64608974347</v>
      </c>
      <c r="J109" s="24" t="str">
        <f>IF(A109="","",IF(A109&lt;=Calculator!C19,"IO","P&amp;I"))</f>
        <v>P&amp;I</v>
      </c>
    </row>
    <row r="110" spans="1:10" ht="15.75" customHeight="1" x14ac:dyDescent="0.25">
      <c r="A110" s="19">
        <f>IF(99&lt;=Calculator!C18,99,"")</f>
        <v>99</v>
      </c>
      <c r="B110" s="20">
        <f t="shared" si="8"/>
        <v>837416.03276015201</v>
      </c>
      <c r="C110" s="20">
        <f>IF(A110="","",IF(J110="IO",Calculator!C22,IF(B110&gt;0,MIN(Calculator!C21,B110*(1+Calculator!C17)),0)))</f>
        <v>7067.7919727509352</v>
      </c>
      <c r="D110" s="20">
        <f>IF(A110="","",IF(AND(J110="P&amp;I",A110&gt;=Calculator!C9),MIN(Calculator!C8,MAX(0,B110-C110+F110)),0))</f>
        <v>0</v>
      </c>
      <c r="E110" s="20">
        <f t="shared" si="5"/>
        <v>7067.7919727509352</v>
      </c>
      <c r="F110" s="20">
        <f>IF(A110="","",IF(Calculator!C12="Beginning of Period",MAX(0,(B110-IF(J110="IO",Calculator!C22,Calculator!C21))*Calculator!C17),B110*Calculator!C17))</f>
        <v>4884.926857767573</v>
      </c>
      <c r="G110" s="20">
        <f t="shared" si="6"/>
        <v>2182.8651149833622</v>
      </c>
      <c r="H110" s="20">
        <f t="shared" si="7"/>
        <v>835233.16764516861</v>
      </c>
      <c r="I110" s="20">
        <f t="shared" si="9"/>
        <v>534944.5729475111</v>
      </c>
      <c r="J110" s="21" t="str">
        <f>IF(A110="","",IF(A110&lt;=Calculator!C19,"IO","P&amp;I"))</f>
        <v>P&amp;I</v>
      </c>
    </row>
    <row r="111" spans="1:10" ht="15.75" customHeight="1" x14ac:dyDescent="0.25">
      <c r="A111" s="22">
        <f>IF(100&lt;=Calculator!C18,100,"")</f>
        <v>100</v>
      </c>
      <c r="B111" s="23">
        <f t="shared" si="8"/>
        <v>835233.16764516861</v>
      </c>
      <c r="C111" s="23">
        <f>IF(A111="","",IF(J111="IO",Calculator!C22,IF(B111&gt;0,MIN(Calculator!C21,B111*(1+Calculator!C17)),0)))</f>
        <v>7067.7919727509352</v>
      </c>
      <c r="D111" s="23">
        <f>IF(A111="","",IF(AND(J111="P&amp;I",A111&gt;=Calculator!C9),MIN(Calculator!C8,MAX(0,B111-C111+F111)),0))</f>
        <v>0</v>
      </c>
      <c r="E111" s="23">
        <f t="shared" si="5"/>
        <v>7067.7919727509352</v>
      </c>
      <c r="F111" s="23">
        <f>IF(A111="","",IF(Calculator!C12="Beginning of Period",MAX(0,(B111-IF(J111="IO",Calculator!C22,Calculator!C21))*Calculator!C17),B111*Calculator!C17))</f>
        <v>4872.19347793017</v>
      </c>
      <c r="G111" s="23">
        <f t="shared" si="6"/>
        <v>2195.5984948207652</v>
      </c>
      <c r="H111" s="23">
        <f t="shared" si="7"/>
        <v>833037.56915034784</v>
      </c>
      <c r="I111" s="23">
        <f t="shared" si="9"/>
        <v>539816.76642544125</v>
      </c>
      <c r="J111" s="24" t="str">
        <f>IF(A111="","",IF(A111&lt;=Calculator!C19,"IO","P&amp;I"))</f>
        <v>P&amp;I</v>
      </c>
    </row>
    <row r="112" spans="1:10" ht="15.75" customHeight="1" x14ac:dyDescent="0.25">
      <c r="A112" s="19">
        <f>IF(101&lt;=Calculator!C18,101,"")</f>
        <v>101</v>
      </c>
      <c r="B112" s="20">
        <f t="shared" si="8"/>
        <v>833037.56915034784</v>
      </c>
      <c r="C112" s="20">
        <f>IF(A112="","",IF(J112="IO",Calculator!C22,IF(B112&gt;0,MIN(Calculator!C21,B112*(1+Calculator!C17)),0)))</f>
        <v>7067.7919727509352</v>
      </c>
      <c r="D112" s="20">
        <f>IF(A112="","",IF(AND(J112="P&amp;I",A112&gt;=Calculator!C9),MIN(Calculator!C8,MAX(0,B112-C112+F112)),0))</f>
        <v>0</v>
      </c>
      <c r="E112" s="20">
        <f t="shared" si="5"/>
        <v>7067.7919727509352</v>
      </c>
      <c r="F112" s="20">
        <f>IF(A112="","",IF(Calculator!C12="Beginning of Period",MAX(0,(B112-IF(J112="IO",Calculator!C22,Calculator!C21))*Calculator!C17),B112*Calculator!C17))</f>
        <v>4859.3858200437153</v>
      </c>
      <c r="G112" s="20">
        <f t="shared" si="6"/>
        <v>2208.4061527072199</v>
      </c>
      <c r="H112" s="20">
        <f t="shared" si="7"/>
        <v>830829.16299764067</v>
      </c>
      <c r="I112" s="20">
        <f t="shared" si="9"/>
        <v>544676.15224548499</v>
      </c>
      <c r="J112" s="21" t="str">
        <f>IF(A112="","",IF(A112&lt;=Calculator!C19,"IO","P&amp;I"))</f>
        <v>P&amp;I</v>
      </c>
    </row>
    <row r="113" spans="1:10" ht="15.75" customHeight="1" x14ac:dyDescent="0.25">
      <c r="A113" s="22">
        <f>IF(102&lt;=Calculator!C18,102,"")</f>
        <v>102</v>
      </c>
      <c r="B113" s="23">
        <f t="shared" si="8"/>
        <v>830829.16299764067</v>
      </c>
      <c r="C113" s="23">
        <f>IF(A113="","",IF(J113="IO",Calculator!C22,IF(B113&gt;0,MIN(Calculator!C21,B113*(1+Calculator!C17)),0)))</f>
        <v>7067.7919727509352</v>
      </c>
      <c r="D113" s="23">
        <f>IF(A113="","",IF(AND(J113="P&amp;I",A113&gt;=Calculator!C9),MIN(Calculator!C8,MAX(0,B113-C113+F113)),0))</f>
        <v>0</v>
      </c>
      <c r="E113" s="23">
        <f t="shared" si="5"/>
        <v>7067.7919727509352</v>
      </c>
      <c r="F113" s="23">
        <f>IF(A113="","",IF(Calculator!C12="Beginning of Period",MAX(0,(B113-IF(J113="IO",Calculator!C22,Calculator!C21))*Calculator!C17),B113*Calculator!C17))</f>
        <v>4846.5034508195904</v>
      </c>
      <c r="G113" s="23">
        <f t="shared" si="6"/>
        <v>2221.2885219313448</v>
      </c>
      <c r="H113" s="23">
        <f t="shared" si="7"/>
        <v>828607.87447570928</v>
      </c>
      <c r="I113" s="23">
        <f t="shared" si="9"/>
        <v>549522.65569630463</v>
      </c>
      <c r="J113" s="24" t="str">
        <f>IF(A113="","",IF(A113&lt;=Calculator!C19,"IO","P&amp;I"))</f>
        <v>P&amp;I</v>
      </c>
    </row>
    <row r="114" spans="1:10" ht="15.75" customHeight="1" x14ac:dyDescent="0.25">
      <c r="A114" s="19">
        <f>IF(103&lt;=Calculator!C18,103,"")</f>
        <v>103</v>
      </c>
      <c r="B114" s="20">
        <f t="shared" si="8"/>
        <v>828607.87447570928</v>
      </c>
      <c r="C114" s="20">
        <f>IF(A114="","",IF(J114="IO",Calculator!C22,IF(B114&gt;0,MIN(Calculator!C21,B114*(1+Calculator!C17)),0)))</f>
        <v>7067.7919727509352</v>
      </c>
      <c r="D114" s="20">
        <f>IF(A114="","",IF(AND(J114="P&amp;I",A114&gt;=Calculator!C9),MIN(Calculator!C8,MAX(0,B114-C114+F114)),0))</f>
        <v>0</v>
      </c>
      <c r="E114" s="20">
        <f t="shared" si="5"/>
        <v>7067.7919727509352</v>
      </c>
      <c r="F114" s="20">
        <f>IF(A114="","",IF(Calculator!C12="Beginning of Period",MAX(0,(B114-IF(J114="IO",Calculator!C22,Calculator!C21))*Calculator!C17),B114*Calculator!C17))</f>
        <v>4833.5459344416568</v>
      </c>
      <c r="G114" s="20">
        <f t="shared" si="6"/>
        <v>2234.2460383092784</v>
      </c>
      <c r="H114" s="20">
        <f t="shared" si="7"/>
        <v>826373.62843739998</v>
      </c>
      <c r="I114" s="20">
        <f t="shared" si="9"/>
        <v>554356.20163074625</v>
      </c>
      <c r="J114" s="21" t="str">
        <f>IF(A114="","",IF(A114&lt;=Calculator!C19,"IO","P&amp;I"))</f>
        <v>P&amp;I</v>
      </c>
    </row>
    <row r="115" spans="1:10" ht="15.75" customHeight="1" x14ac:dyDescent="0.25">
      <c r="A115" s="22">
        <f>IF(104&lt;=Calculator!C18,104,"")</f>
        <v>104</v>
      </c>
      <c r="B115" s="23">
        <f t="shared" si="8"/>
        <v>826373.62843739998</v>
      </c>
      <c r="C115" s="23">
        <f>IF(A115="","",IF(J115="IO",Calculator!C22,IF(B115&gt;0,MIN(Calculator!C21,B115*(1+Calculator!C17)),0)))</f>
        <v>7067.7919727509352</v>
      </c>
      <c r="D115" s="23">
        <f>IF(A115="","",IF(AND(J115="P&amp;I",A115&gt;=Calculator!C9),MIN(Calculator!C8,MAX(0,B115-C115+F115)),0))</f>
        <v>0</v>
      </c>
      <c r="E115" s="23">
        <f t="shared" si="5"/>
        <v>7067.7919727509352</v>
      </c>
      <c r="F115" s="23">
        <f>IF(A115="","",IF(Calculator!C12="Beginning of Period",MAX(0,(B115-IF(J115="IO",Calculator!C22,Calculator!C21))*Calculator!C17),B115*Calculator!C17))</f>
        <v>4820.5128325515198</v>
      </c>
      <c r="G115" s="23">
        <f t="shared" si="6"/>
        <v>2247.2791401994155</v>
      </c>
      <c r="H115" s="23">
        <f t="shared" si="7"/>
        <v>824126.34929720056</v>
      </c>
      <c r="I115" s="23">
        <f t="shared" si="9"/>
        <v>559176.71446329774</v>
      </c>
      <c r="J115" s="24" t="str">
        <f>IF(A115="","",IF(A115&lt;=Calculator!C19,"IO","P&amp;I"))</f>
        <v>P&amp;I</v>
      </c>
    </row>
    <row r="116" spans="1:10" ht="15.75" customHeight="1" x14ac:dyDescent="0.25">
      <c r="A116" s="19">
        <f>IF(105&lt;=Calculator!C18,105,"")</f>
        <v>105</v>
      </c>
      <c r="B116" s="20">
        <f t="shared" si="8"/>
        <v>824126.34929720056</v>
      </c>
      <c r="C116" s="20">
        <f>IF(A116="","",IF(J116="IO",Calculator!C22,IF(B116&gt;0,MIN(Calculator!C21,B116*(1+Calculator!C17)),0)))</f>
        <v>7067.7919727509352</v>
      </c>
      <c r="D116" s="20">
        <f>IF(A116="","",IF(AND(J116="P&amp;I",A116&gt;=Calculator!C9),MIN(Calculator!C8,MAX(0,B116-C116+F116)),0))</f>
        <v>0</v>
      </c>
      <c r="E116" s="20">
        <f t="shared" si="5"/>
        <v>7067.7919727509352</v>
      </c>
      <c r="F116" s="20">
        <f>IF(A116="","",IF(Calculator!C12="Beginning of Period",MAX(0,(B116-IF(J116="IO",Calculator!C22,Calculator!C21))*Calculator!C17),B116*Calculator!C17))</f>
        <v>4807.4037042336895</v>
      </c>
      <c r="G116" s="20">
        <f t="shared" si="6"/>
        <v>2260.3882685172457</v>
      </c>
      <c r="H116" s="20">
        <f t="shared" si="7"/>
        <v>821865.96102868335</v>
      </c>
      <c r="I116" s="20">
        <f t="shared" si="9"/>
        <v>563984.11816753144</v>
      </c>
      <c r="J116" s="21" t="str">
        <f>IF(A116="","",IF(A116&lt;=Calculator!C19,"IO","P&amp;I"))</f>
        <v>P&amp;I</v>
      </c>
    </row>
    <row r="117" spans="1:10" ht="15.75" customHeight="1" x14ac:dyDescent="0.25">
      <c r="A117" s="22">
        <f>IF(106&lt;=Calculator!C18,106,"")</f>
        <v>106</v>
      </c>
      <c r="B117" s="23">
        <f t="shared" si="8"/>
        <v>821865.96102868335</v>
      </c>
      <c r="C117" s="23">
        <f>IF(A117="","",IF(J117="IO",Calculator!C22,IF(B117&gt;0,MIN(Calculator!C21,B117*(1+Calculator!C17)),0)))</f>
        <v>7067.7919727509352</v>
      </c>
      <c r="D117" s="23">
        <f>IF(A117="","",IF(AND(J117="P&amp;I",A117&gt;=Calculator!C9),MIN(Calculator!C8,MAX(0,B117-C117+F117)),0))</f>
        <v>0</v>
      </c>
      <c r="E117" s="23">
        <f t="shared" si="5"/>
        <v>7067.7919727509352</v>
      </c>
      <c r="F117" s="23">
        <f>IF(A117="","",IF(Calculator!C12="Beginning of Period",MAX(0,(B117-IF(J117="IO",Calculator!C22,Calculator!C21))*Calculator!C17),B117*Calculator!C17))</f>
        <v>4794.2181060006724</v>
      </c>
      <c r="G117" s="23">
        <f t="shared" si="6"/>
        <v>2273.5738667502628</v>
      </c>
      <c r="H117" s="23">
        <f t="shared" si="7"/>
        <v>819592.38716193312</v>
      </c>
      <c r="I117" s="23">
        <f t="shared" si="9"/>
        <v>568778.33627353213</v>
      </c>
      <c r="J117" s="24" t="str">
        <f>IF(A117="","",IF(A117&lt;=Calculator!C19,"IO","P&amp;I"))</f>
        <v>P&amp;I</v>
      </c>
    </row>
    <row r="118" spans="1:10" ht="15.75" customHeight="1" x14ac:dyDescent="0.25">
      <c r="A118" s="19">
        <f>IF(107&lt;=Calculator!C18,107,"")</f>
        <v>107</v>
      </c>
      <c r="B118" s="20">
        <f t="shared" si="8"/>
        <v>819592.38716193312</v>
      </c>
      <c r="C118" s="20">
        <f>IF(A118="","",IF(J118="IO",Calculator!C22,IF(B118&gt;0,MIN(Calculator!C21,B118*(1+Calculator!C17)),0)))</f>
        <v>7067.7919727509352</v>
      </c>
      <c r="D118" s="20">
        <f>IF(A118="","",IF(AND(J118="P&amp;I",A118&gt;=Calculator!C9),MIN(Calculator!C8,MAX(0,B118-C118+F118)),0))</f>
        <v>0</v>
      </c>
      <c r="E118" s="20">
        <f t="shared" si="5"/>
        <v>7067.7919727509352</v>
      </c>
      <c r="F118" s="20">
        <f>IF(A118="","",IF(Calculator!C12="Beginning of Period",MAX(0,(B118-IF(J118="IO",Calculator!C22,Calculator!C21))*Calculator!C17),B118*Calculator!C17))</f>
        <v>4780.9555917779626</v>
      </c>
      <c r="G118" s="20">
        <f t="shared" si="6"/>
        <v>2286.8363809729726</v>
      </c>
      <c r="H118" s="20">
        <f t="shared" si="7"/>
        <v>817305.55078096013</v>
      </c>
      <c r="I118" s="20">
        <f t="shared" si="9"/>
        <v>573559.29186531005</v>
      </c>
      <c r="J118" s="21" t="str">
        <f>IF(A118="","",IF(A118&lt;=Calculator!C19,"IO","P&amp;I"))</f>
        <v>P&amp;I</v>
      </c>
    </row>
    <row r="119" spans="1:10" ht="15.75" customHeight="1" x14ac:dyDescent="0.25">
      <c r="A119" s="22">
        <f>IF(108&lt;=Calculator!C18,108,"")</f>
        <v>108</v>
      </c>
      <c r="B119" s="23">
        <f t="shared" si="8"/>
        <v>817305.55078096013</v>
      </c>
      <c r="C119" s="23">
        <f>IF(A119="","",IF(J119="IO",Calculator!C22,IF(B119&gt;0,MIN(Calculator!C21,B119*(1+Calculator!C17)),0)))</f>
        <v>7067.7919727509352</v>
      </c>
      <c r="D119" s="23">
        <f>IF(A119="","",IF(AND(J119="P&amp;I",A119&gt;=Calculator!C9),MIN(Calculator!C8,MAX(0,B119-C119+F119)),0))</f>
        <v>0</v>
      </c>
      <c r="E119" s="23">
        <f t="shared" si="5"/>
        <v>7067.7919727509352</v>
      </c>
      <c r="F119" s="23">
        <f>IF(A119="","",IF(Calculator!C12="Beginning of Period",MAX(0,(B119-IF(J119="IO",Calculator!C22,Calculator!C21))*Calculator!C17),B119*Calculator!C17))</f>
        <v>4767.6157128889536</v>
      </c>
      <c r="G119" s="23">
        <f t="shared" si="6"/>
        <v>2300.1762598619816</v>
      </c>
      <c r="H119" s="23">
        <f t="shared" si="7"/>
        <v>815005.3745210981</v>
      </c>
      <c r="I119" s="23">
        <f t="shared" si="9"/>
        <v>578326.90757819905</v>
      </c>
      <c r="J119" s="24" t="str">
        <f>IF(A119="","",IF(A119&lt;=Calculator!C19,"IO","P&amp;I"))</f>
        <v>P&amp;I</v>
      </c>
    </row>
    <row r="120" spans="1:10" ht="15.75" customHeight="1" x14ac:dyDescent="0.25">
      <c r="A120" s="19">
        <f>IF(109&lt;=Calculator!C18,109,"")</f>
        <v>109</v>
      </c>
      <c r="B120" s="20">
        <f t="shared" si="8"/>
        <v>815005.3745210981</v>
      </c>
      <c r="C120" s="20">
        <f>IF(A120="","",IF(J120="IO",Calculator!C22,IF(B120&gt;0,MIN(Calculator!C21,B120*(1+Calculator!C17)),0)))</f>
        <v>7067.7919727509352</v>
      </c>
      <c r="D120" s="20">
        <f>IF(A120="","",IF(AND(J120="P&amp;I",A120&gt;=Calculator!C9),MIN(Calculator!C8,MAX(0,B120-C120+F120)),0))</f>
        <v>0</v>
      </c>
      <c r="E120" s="20">
        <f t="shared" si="5"/>
        <v>7067.7919727509352</v>
      </c>
      <c r="F120" s="20">
        <f>IF(A120="","",IF(Calculator!C12="Beginning of Period",MAX(0,(B120-IF(J120="IO",Calculator!C22,Calculator!C21))*Calculator!C17),B120*Calculator!C17))</f>
        <v>4754.1980180397586</v>
      </c>
      <c r="G120" s="20">
        <f t="shared" si="6"/>
        <v>2313.5939547111766</v>
      </c>
      <c r="H120" s="20">
        <f t="shared" si="7"/>
        <v>812691.78056638688</v>
      </c>
      <c r="I120" s="20">
        <f t="shared" si="9"/>
        <v>583081.10559623886</v>
      </c>
      <c r="J120" s="21" t="str">
        <f>IF(A120="","",IF(A120&lt;=Calculator!C19,"IO","P&amp;I"))</f>
        <v>P&amp;I</v>
      </c>
    </row>
    <row r="121" spans="1:10" ht="15.75" customHeight="1" x14ac:dyDescent="0.25">
      <c r="A121" s="22">
        <f>IF(110&lt;=Calculator!C18,110,"")</f>
        <v>110</v>
      </c>
      <c r="B121" s="23">
        <f t="shared" si="8"/>
        <v>812691.78056638688</v>
      </c>
      <c r="C121" s="23">
        <f>IF(A121="","",IF(J121="IO",Calculator!C22,IF(B121&gt;0,MIN(Calculator!C21,B121*(1+Calculator!C17)),0)))</f>
        <v>7067.7919727509352</v>
      </c>
      <c r="D121" s="23">
        <f>IF(A121="","",IF(AND(J121="P&amp;I",A121&gt;=Calculator!C9),MIN(Calculator!C8,MAX(0,B121-C121+F121)),0))</f>
        <v>0</v>
      </c>
      <c r="E121" s="23">
        <f t="shared" si="5"/>
        <v>7067.7919727509352</v>
      </c>
      <c r="F121" s="23">
        <f>IF(A121="","",IF(Calculator!C12="Beginning of Period",MAX(0,(B121-IF(J121="IO",Calculator!C22,Calculator!C21))*Calculator!C17),B121*Calculator!C17))</f>
        <v>4740.7020533039431</v>
      </c>
      <c r="G121" s="23">
        <f t="shared" si="6"/>
        <v>2327.0899194469921</v>
      </c>
      <c r="H121" s="23">
        <f t="shared" si="7"/>
        <v>810364.69064693991</v>
      </c>
      <c r="I121" s="23">
        <f t="shared" si="9"/>
        <v>587821.80764954281</v>
      </c>
      <c r="J121" s="24" t="str">
        <f>IF(A121="","",IF(A121&lt;=Calculator!C19,"IO","P&amp;I"))</f>
        <v>P&amp;I</v>
      </c>
    </row>
    <row r="122" spans="1:10" ht="15.75" customHeight="1" x14ac:dyDescent="0.25">
      <c r="A122" s="19">
        <f>IF(111&lt;=Calculator!C18,111,"")</f>
        <v>111</v>
      </c>
      <c r="B122" s="20">
        <f t="shared" si="8"/>
        <v>810364.69064693991</v>
      </c>
      <c r="C122" s="20">
        <f>IF(A122="","",IF(J122="IO",Calculator!C22,IF(B122&gt;0,MIN(Calculator!C21,B122*(1+Calculator!C17)),0)))</f>
        <v>7067.7919727509352</v>
      </c>
      <c r="D122" s="20">
        <f>IF(A122="","",IF(AND(J122="P&amp;I",A122&gt;=Calculator!C9),MIN(Calculator!C8,MAX(0,B122-C122+F122)),0))</f>
        <v>0</v>
      </c>
      <c r="E122" s="20">
        <f t="shared" si="5"/>
        <v>7067.7919727509352</v>
      </c>
      <c r="F122" s="20">
        <f>IF(A122="","",IF(Calculator!C12="Beginning of Period",MAX(0,(B122-IF(J122="IO",Calculator!C22,Calculator!C21))*Calculator!C17),B122*Calculator!C17))</f>
        <v>4727.1273621071687</v>
      </c>
      <c r="G122" s="20">
        <f t="shared" si="6"/>
        <v>2340.6646106437665</v>
      </c>
      <c r="H122" s="20">
        <f t="shared" si="7"/>
        <v>808024.02603629616</v>
      </c>
      <c r="I122" s="20">
        <f t="shared" si="9"/>
        <v>592548.93501164997</v>
      </c>
      <c r="J122" s="21" t="str">
        <f>IF(A122="","",IF(A122&lt;=Calculator!C19,"IO","P&amp;I"))</f>
        <v>P&amp;I</v>
      </c>
    </row>
    <row r="123" spans="1:10" ht="15.75" customHeight="1" x14ac:dyDescent="0.25">
      <c r="A123" s="22">
        <f>IF(112&lt;=Calculator!C18,112,"")</f>
        <v>112</v>
      </c>
      <c r="B123" s="23">
        <f t="shared" si="8"/>
        <v>808024.02603629616</v>
      </c>
      <c r="C123" s="23">
        <f>IF(A123="","",IF(J123="IO",Calculator!C22,IF(B123&gt;0,MIN(Calculator!C21,B123*(1+Calculator!C17)),0)))</f>
        <v>7067.7919727509352</v>
      </c>
      <c r="D123" s="23">
        <f>IF(A123="","",IF(AND(J123="P&amp;I",A123&gt;=Calculator!C9),MIN(Calculator!C8,MAX(0,B123-C123+F123)),0))</f>
        <v>0</v>
      </c>
      <c r="E123" s="23">
        <f t="shared" si="5"/>
        <v>7067.7919727509352</v>
      </c>
      <c r="F123" s="23">
        <f>IF(A123="","",IF(Calculator!C12="Beginning of Period",MAX(0,(B123-IF(J123="IO",Calculator!C22,Calculator!C21))*Calculator!C17),B123*Calculator!C17))</f>
        <v>4713.4734852117463</v>
      </c>
      <c r="G123" s="23">
        <f t="shared" si="6"/>
        <v>2354.3184875391889</v>
      </c>
      <c r="H123" s="23">
        <f t="shared" si="7"/>
        <v>805669.70754875697</v>
      </c>
      <c r="I123" s="23">
        <f t="shared" si="9"/>
        <v>597262.4084968617</v>
      </c>
      <c r="J123" s="24" t="str">
        <f>IF(A123="","",IF(A123&lt;=Calculator!C19,"IO","P&amp;I"))</f>
        <v>P&amp;I</v>
      </c>
    </row>
    <row r="124" spans="1:10" ht="15.75" customHeight="1" x14ac:dyDescent="0.25">
      <c r="A124" s="19">
        <f>IF(113&lt;=Calculator!C18,113,"")</f>
        <v>113</v>
      </c>
      <c r="B124" s="20">
        <f t="shared" si="8"/>
        <v>805669.70754875697</v>
      </c>
      <c r="C124" s="20">
        <f>IF(A124="","",IF(J124="IO",Calculator!C22,IF(B124&gt;0,MIN(Calculator!C21,B124*(1+Calculator!C17)),0)))</f>
        <v>7067.7919727509352</v>
      </c>
      <c r="D124" s="20">
        <f>IF(A124="","",IF(AND(J124="P&amp;I",A124&gt;=Calculator!C9),MIN(Calculator!C8,MAX(0,B124-C124+F124)),0))</f>
        <v>0</v>
      </c>
      <c r="E124" s="20">
        <f t="shared" si="5"/>
        <v>7067.7919727509352</v>
      </c>
      <c r="F124" s="20">
        <f>IF(A124="","",IF(Calculator!C12="Beginning of Period",MAX(0,(B124-IF(J124="IO",Calculator!C22,Calculator!C21))*Calculator!C17),B124*Calculator!C17))</f>
        <v>4699.7399607011012</v>
      </c>
      <c r="G124" s="20">
        <f t="shared" si="6"/>
        <v>2368.052012049834</v>
      </c>
      <c r="H124" s="20">
        <f t="shared" si="7"/>
        <v>803301.65553670714</v>
      </c>
      <c r="I124" s="20">
        <f t="shared" si="9"/>
        <v>601962.14845756278</v>
      </c>
      <c r="J124" s="21" t="str">
        <f>IF(A124="","",IF(A124&lt;=Calculator!C19,"IO","P&amp;I"))</f>
        <v>P&amp;I</v>
      </c>
    </row>
    <row r="125" spans="1:10" ht="15.75" customHeight="1" x14ac:dyDescent="0.25">
      <c r="A125" s="22">
        <f>IF(114&lt;=Calculator!C18,114,"")</f>
        <v>114</v>
      </c>
      <c r="B125" s="23">
        <f t="shared" si="8"/>
        <v>803301.65553670714</v>
      </c>
      <c r="C125" s="23">
        <f>IF(A125="","",IF(J125="IO",Calculator!C22,IF(B125&gt;0,MIN(Calculator!C21,B125*(1+Calculator!C17)),0)))</f>
        <v>7067.7919727509352</v>
      </c>
      <c r="D125" s="23">
        <f>IF(A125="","",IF(AND(J125="P&amp;I",A125&gt;=Calculator!C9),MIN(Calculator!C8,MAX(0,B125-C125+F125)),0))</f>
        <v>0</v>
      </c>
      <c r="E125" s="23">
        <f t="shared" si="5"/>
        <v>7067.7919727509352</v>
      </c>
      <c r="F125" s="23">
        <f>IF(A125="","",IF(Calculator!C12="Beginning of Period",MAX(0,(B125-IF(J125="IO",Calculator!C22,Calculator!C21))*Calculator!C17),B125*Calculator!C17))</f>
        <v>4685.9263239641441</v>
      </c>
      <c r="G125" s="23">
        <f t="shared" si="6"/>
        <v>2381.8656487867911</v>
      </c>
      <c r="H125" s="23">
        <f t="shared" si="7"/>
        <v>800919.78988792037</v>
      </c>
      <c r="I125" s="23">
        <f t="shared" si="9"/>
        <v>606648.07478152693</v>
      </c>
      <c r="J125" s="24" t="str">
        <f>IF(A125="","",IF(A125&lt;=Calculator!C19,"IO","P&amp;I"))</f>
        <v>P&amp;I</v>
      </c>
    </row>
    <row r="126" spans="1:10" ht="15.75" customHeight="1" x14ac:dyDescent="0.25">
      <c r="A126" s="19">
        <f>IF(115&lt;=Calculator!C18,115,"")</f>
        <v>115</v>
      </c>
      <c r="B126" s="20">
        <f t="shared" si="8"/>
        <v>800919.78988792037</v>
      </c>
      <c r="C126" s="20">
        <f>IF(A126="","",IF(J126="IO",Calculator!C22,IF(B126&gt;0,MIN(Calculator!C21,B126*(1+Calculator!C17)),0)))</f>
        <v>7067.7919727509352</v>
      </c>
      <c r="D126" s="20">
        <f>IF(A126="","",IF(AND(J126="P&amp;I",A126&gt;=Calculator!C9),MIN(Calculator!C8,MAX(0,B126-C126+F126)),0))</f>
        <v>0</v>
      </c>
      <c r="E126" s="20">
        <f t="shared" si="5"/>
        <v>7067.7919727509352</v>
      </c>
      <c r="F126" s="20">
        <f>IF(A126="","",IF(Calculator!C12="Beginning of Period",MAX(0,(B126-IF(J126="IO",Calculator!C22,Calculator!C21))*Calculator!C17),B126*Calculator!C17))</f>
        <v>4672.0321076795544</v>
      </c>
      <c r="G126" s="20">
        <f t="shared" si="6"/>
        <v>2395.7598650713808</v>
      </c>
      <c r="H126" s="20">
        <f t="shared" si="7"/>
        <v>798524.03002284898</v>
      </c>
      <c r="I126" s="20">
        <f t="shared" si="9"/>
        <v>611320.10688920645</v>
      </c>
      <c r="J126" s="21" t="str">
        <f>IF(A126="","",IF(A126&lt;=Calculator!C19,"IO","P&amp;I"))</f>
        <v>P&amp;I</v>
      </c>
    </row>
    <row r="127" spans="1:10" ht="15.75" customHeight="1" x14ac:dyDescent="0.25">
      <c r="A127" s="22">
        <f>IF(116&lt;=Calculator!C18,116,"")</f>
        <v>116</v>
      </c>
      <c r="B127" s="23">
        <f t="shared" si="8"/>
        <v>798524.03002284898</v>
      </c>
      <c r="C127" s="23">
        <f>IF(A127="","",IF(J127="IO",Calculator!C22,IF(B127&gt;0,MIN(Calculator!C21,B127*(1+Calculator!C17)),0)))</f>
        <v>7067.7919727509352</v>
      </c>
      <c r="D127" s="23">
        <f>IF(A127="","",IF(AND(J127="P&amp;I",A127&gt;=Calculator!C9),MIN(Calculator!C8,MAX(0,B127-C127+F127)),0))</f>
        <v>0</v>
      </c>
      <c r="E127" s="23">
        <f t="shared" si="5"/>
        <v>7067.7919727509352</v>
      </c>
      <c r="F127" s="23">
        <f>IF(A127="","",IF(Calculator!C12="Beginning of Period",MAX(0,(B127-IF(J127="IO",Calculator!C22,Calculator!C21))*Calculator!C17),B127*Calculator!C17))</f>
        <v>4658.0568417999712</v>
      </c>
      <c r="G127" s="23">
        <f t="shared" si="6"/>
        <v>2409.735130950964</v>
      </c>
      <c r="H127" s="23">
        <f t="shared" si="7"/>
        <v>796114.29489189805</v>
      </c>
      <c r="I127" s="23">
        <f t="shared" si="9"/>
        <v>615978.16373100644</v>
      </c>
      <c r="J127" s="24" t="str">
        <f>IF(A127="","",IF(A127&lt;=Calculator!C19,"IO","P&amp;I"))</f>
        <v>P&amp;I</v>
      </c>
    </row>
    <row r="128" spans="1:10" ht="15.75" customHeight="1" x14ac:dyDescent="0.25">
      <c r="A128" s="19">
        <f>IF(117&lt;=Calculator!C18,117,"")</f>
        <v>117</v>
      </c>
      <c r="B128" s="20">
        <f t="shared" si="8"/>
        <v>796114.29489189805</v>
      </c>
      <c r="C128" s="20">
        <f>IF(A128="","",IF(J128="IO",Calculator!C22,IF(B128&gt;0,MIN(Calculator!C21,B128*(1+Calculator!C17)),0)))</f>
        <v>7067.7919727509352</v>
      </c>
      <c r="D128" s="20">
        <f>IF(A128="","",IF(AND(J128="P&amp;I",A128&gt;=Calculator!C9),MIN(Calculator!C8,MAX(0,B128-C128+F128)),0))</f>
        <v>0</v>
      </c>
      <c r="E128" s="20">
        <f t="shared" si="5"/>
        <v>7067.7919727509352</v>
      </c>
      <c r="F128" s="20">
        <f>IF(A128="","",IF(Calculator!C12="Beginning of Period",MAX(0,(B128-IF(J128="IO",Calculator!C22,Calculator!C21))*Calculator!C17),B128*Calculator!C17))</f>
        <v>4644.0000535360905</v>
      </c>
      <c r="G128" s="20">
        <f t="shared" si="6"/>
        <v>2423.7919192148447</v>
      </c>
      <c r="H128" s="20">
        <f t="shared" si="7"/>
        <v>793690.50297268317</v>
      </c>
      <c r="I128" s="20">
        <f t="shared" si="9"/>
        <v>620622.16378454259</v>
      </c>
      <c r="J128" s="21" t="str">
        <f>IF(A128="","",IF(A128&lt;=Calculator!C19,"IO","P&amp;I"))</f>
        <v>P&amp;I</v>
      </c>
    </row>
    <row r="129" spans="1:10" ht="15.75" customHeight="1" x14ac:dyDescent="0.25">
      <c r="A129" s="22">
        <f>IF(118&lt;=Calculator!C18,118,"")</f>
        <v>118</v>
      </c>
      <c r="B129" s="23">
        <f t="shared" si="8"/>
        <v>793690.50297268317</v>
      </c>
      <c r="C129" s="23">
        <f>IF(A129="","",IF(J129="IO",Calculator!C22,IF(B129&gt;0,MIN(Calculator!C21,B129*(1+Calculator!C17)),0)))</f>
        <v>7067.7919727509352</v>
      </c>
      <c r="D129" s="23">
        <f>IF(A129="","",IF(AND(J129="P&amp;I",A129&gt;=Calculator!C9),MIN(Calculator!C8,MAX(0,B129-C129+F129)),0))</f>
        <v>0</v>
      </c>
      <c r="E129" s="23">
        <f t="shared" si="5"/>
        <v>7067.7919727509352</v>
      </c>
      <c r="F129" s="23">
        <f>IF(A129="","",IF(Calculator!C12="Beginning of Period",MAX(0,(B129-IF(J129="IO",Calculator!C22,Calculator!C21))*Calculator!C17),B129*Calculator!C17))</f>
        <v>4629.8612673406706</v>
      </c>
      <c r="G129" s="23">
        <f t="shared" si="6"/>
        <v>2437.9307054102646</v>
      </c>
      <c r="H129" s="23">
        <f t="shared" si="7"/>
        <v>791252.57226727286</v>
      </c>
      <c r="I129" s="23">
        <f t="shared" si="9"/>
        <v>625252.02505188331</v>
      </c>
      <c r="J129" s="24" t="str">
        <f>IF(A129="","",IF(A129&lt;=Calculator!C19,"IO","P&amp;I"))</f>
        <v>P&amp;I</v>
      </c>
    </row>
    <row r="130" spans="1:10" ht="15.75" customHeight="1" x14ac:dyDescent="0.25">
      <c r="A130" s="19">
        <f>IF(119&lt;=Calculator!C18,119,"")</f>
        <v>119</v>
      </c>
      <c r="B130" s="20">
        <f t="shared" si="8"/>
        <v>791252.57226727286</v>
      </c>
      <c r="C130" s="20">
        <f>IF(A130="","",IF(J130="IO",Calculator!C22,IF(B130&gt;0,MIN(Calculator!C21,B130*(1+Calculator!C17)),0)))</f>
        <v>7067.7919727509352</v>
      </c>
      <c r="D130" s="20">
        <f>IF(A130="","",IF(AND(J130="P&amp;I",A130&gt;=Calculator!C9),MIN(Calculator!C8,MAX(0,B130-C130+F130)),0))</f>
        <v>0</v>
      </c>
      <c r="E130" s="20">
        <f t="shared" si="5"/>
        <v>7067.7919727509352</v>
      </c>
      <c r="F130" s="20">
        <f>IF(A130="","",IF(Calculator!C12="Beginning of Period",MAX(0,(B130-IF(J130="IO",Calculator!C22,Calculator!C21))*Calculator!C17),B130*Calculator!C17))</f>
        <v>4615.6400048924434</v>
      </c>
      <c r="G130" s="20">
        <f t="shared" si="6"/>
        <v>2452.1519678584918</v>
      </c>
      <c r="H130" s="20">
        <f t="shared" si="7"/>
        <v>788800.42029941431</v>
      </c>
      <c r="I130" s="20">
        <f t="shared" si="9"/>
        <v>629867.66505677579</v>
      </c>
      <c r="J130" s="21" t="str">
        <f>IF(A130="","",IF(A130&lt;=Calculator!C19,"IO","P&amp;I"))</f>
        <v>P&amp;I</v>
      </c>
    </row>
    <row r="131" spans="1:10" ht="15.75" customHeight="1" x14ac:dyDescent="0.25">
      <c r="A131" s="22">
        <f>IF(120&lt;=Calculator!C18,120,"")</f>
        <v>120</v>
      </c>
      <c r="B131" s="23">
        <f t="shared" si="8"/>
        <v>788800.42029941431</v>
      </c>
      <c r="C131" s="23">
        <f>IF(A131="","",IF(J131="IO",Calculator!C22,IF(B131&gt;0,MIN(Calculator!C21,B131*(1+Calculator!C17)),0)))</f>
        <v>7067.7919727509352</v>
      </c>
      <c r="D131" s="23">
        <f>IF(A131="","",IF(AND(J131="P&amp;I",A131&gt;=Calculator!C9),MIN(Calculator!C8,MAX(0,B131-C131+F131)),0))</f>
        <v>0</v>
      </c>
      <c r="E131" s="23">
        <f t="shared" si="5"/>
        <v>7067.7919727509352</v>
      </c>
      <c r="F131" s="23">
        <f>IF(A131="","",IF(Calculator!C12="Beginning of Period",MAX(0,(B131-IF(J131="IO",Calculator!C22,Calculator!C21))*Calculator!C17),B131*Calculator!C17))</f>
        <v>4601.3357850799357</v>
      </c>
      <c r="G131" s="23">
        <f t="shared" si="6"/>
        <v>2466.4561876709995</v>
      </c>
      <c r="H131" s="23">
        <f t="shared" si="7"/>
        <v>786333.96411174326</v>
      </c>
      <c r="I131" s="23">
        <f t="shared" si="9"/>
        <v>634469.00084185577</v>
      </c>
      <c r="J131" s="24" t="str">
        <f>IF(A131="","",IF(A131&lt;=Calculator!C19,"IO","P&amp;I"))</f>
        <v>P&amp;I</v>
      </c>
    </row>
    <row r="132" spans="1:10" ht="15.75" customHeight="1" x14ac:dyDescent="0.25">
      <c r="A132" s="19">
        <f>IF(121&lt;=Calculator!C18,121,"")</f>
        <v>121</v>
      </c>
      <c r="B132" s="20">
        <f t="shared" si="8"/>
        <v>786333.96411174326</v>
      </c>
      <c r="C132" s="20">
        <f>IF(A132="","",IF(J132="IO",Calculator!C22,IF(B132&gt;0,MIN(Calculator!C21,B132*(1+Calculator!C17)),0)))</f>
        <v>7067.7919727509352</v>
      </c>
      <c r="D132" s="20">
        <f>IF(A132="","",IF(AND(J132="P&amp;I",A132&gt;=Calculator!C9),MIN(Calculator!C8,MAX(0,B132-C132+F132)),0))</f>
        <v>0</v>
      </c>
      <c r="E132" s="20">
        <f t="shared" si="5"/>
        <v>7067.7919727509352</v>
      </c>
      <c r="F132" s="20">
        <f>IF(A132="","",IF(Calculator!C12="Beginning of Period",MAX(0,(B132-IF(J132="IO",Calculator!C22,Calculator!C21))*Calculator!C17),B132*Calculator!C17))</f>
        <v>4586.9481239851875</v>
      </c>
      <c r="G132" s="20">
        <f t="shared" si="6"/>
        <v>2480.8438487657477</v>
      </c>
      <c r="H132" s="20">
        <f t="shared" si="7"/>
        <v>783853.12026297755</v>
      </c>
      <c r="I132" s="20">
        <f t="shared" si="9"/>
        <v>639055.94896584097</v>
      </c>
      <c r="J132" s="21" t="str">
        <f>IF(A132="","",IF(A132&lt;=Calculator!C19,"IO","P&amp;I"))</f>
        <v>P&amp;I</v>
      </c>
    </row>
    <row r="133" spans="1:10" ht="15.75" customHeight="1" x14ac:dyDescent="0.25">
      <c r="A133" s="22">
        <f>IF(122&lt;=Calculator!C18,122,"")</f>
        <v>122</v>
      </c>
      <c r="B133" s="23">
        <f t="shared" si="8"/>
        <v>783853.12026297755</v>
      </c>
      <c r="C133" s="23">
        <f>IF(A133="","",IF(J133="IO",Calculator!C22,IF(B133&gt;0,MIN(Calculator!C21,B133*(1+Calculator!C17)),0)))</f>
        <v>7067.7919727509352</v>
      </c>
      <c r="D133" s="23">
        <f>IF(A133="","",IF(AND(J133="P&amp;I",A133&gt;=Calculator!C9),MIN(Calculator!C8,MAX(0,B133-C133+F133)),0))</f>
        <v>0</v>
      </c>
      <c r="E133" s="23">
        <f t="shared" si="5"/>
        <v>7067.7919727509352</v>
      </c>
      <c r="F133" s="23">
        <f>IF(A133="","",IF(Calculator!C12="Beginning of Period",MAX(0,(B133-IF(J133="IO",Calculator!C22,Calculator!C21))*Calculator!C17),B133*Calculator!C17))</f>
        <v>4572.4765348673873</v>
      </c>
      <c r="G133" s="23">
        <f t="shared" si="6"/>
        <v>2495.3154378835479</v>
      </c>
      <c r="H133" s="23">
        <f t="shared" si="7"/>
        <v>781357.80482509395</v>
      </c>
      <c r="I133" s="23">
        <f t="shared" si="9"/>
        <v>643628.4255007084</v>
      </c>
      <c r="J133" s="24" t="str">
        <f>IF(A133="","",IF(A133&lt;=Calculator!C19,"IO","P&amp;I"))</f>
        <v>P&amp;I</v>
      </c>
    </row>
    <row r="134" spans="1:10" ht="15.75" customHeight="1" x14ac:dyDescent="0.25">
      <c r="A134" s="19">
        <f>IF(123&lt;=Calculator!C18,123,"")</f>
        <v>123</v>
      </c>
      <c r="B134" s="20">
        <f t="shared" si="8"/>
        <v>781357.80482509395</v>
      </c>
      <c r="C134" s="20">
        <f>IF(A134="","",IF(J134="IO",Calculator!C22,IF(B134&gt;0,MIN(Calculator!C21,B134*(1+Calculator!C17)),0)))</f>
        <v>7067.7919727509352</v>
      </c>
      <c r="D134" s="20">
        <f>IF(A134="","",IF(AND(J134="P&amp;I",A134&gt;=Calculator!C9),MIN(Calculator!C8,MAX(0,B134-C134+F134)),0))</f>
        <v>0</v>
      </c>
      <c r="E134" s="20">
        <f t="shared" si="5"/>
        <v>7067.7919727509352</v>
      </c>
      <c r="F134" s="20">
        <f>IF(A134="","",IF(Calculator!C12="Beginning of Period",MAX(0,(B134-IF(J134="IO",Calculator!C22,Calculator!C21))*Calculator!C17),B134*Calculator!C17))</f>
        <v>4557.9205281464001</v>
      </c>
      <c r="G134" s="20">
        <f t="shared" si="6"/>
        <v>2509.8714446045351</v>
      </c>
      <c r="H134" s="20">
        <f t="shared" si="7"/>
        <v>778847.93338048935</v>
      </c>
      <c r="I134" s="20">
        <f t="shared" si="9"/>
        <v>648186.34602885484</v>
      </c>
      <c r="J134" s="21" t="str">
        <f>IF(A134="","",IF(A134&lt;=Calculator!C19,"IO","P&amp;I"))</f>
        <v>P&amp;I</v>
      </c>
    </row>
    <row r="135" spans="1:10" ht="15.75" customHeight="1" x14ac:dyDescent="0.25">
      <c r="A135" s="22">
        <f>IF(124&lt;=Calculator!C18,124,"")</f>
        <v>124</v>
      </c>
      <c r="B135" s="23">
        <f t="shared" si="8"/>
        <v>778847.93338048935</v>
      </c>
      <c r="C135" s="23">
        <f>IF(A135="","",IF(J135="IO",Calculator!C22,IF(B135&gt;0,MIN(Calculator!C21,B135*(1+Calculator!C17)),0)))</f>
        <v>7067.7919727509352</v>
      </c>
      <c r="D135" s="23">
        <f>IF(A135="","",IF(AND(J135="P&amp;I",A135&gt;=Calculator!C9),MIN(Calculator!C8,MAX(0,B135-C135+F135)),0))</f>
        <v>0</v>
      </c>
      <c r="E135" s="23">
        <f t="shared" si="5"/>
        <v>7067.7919727509352</v>
      </c>
      <c r="F135" s="23">
        <f>IF(A135="","",IF(Calculator!C12="Beginning of Period",MAX(0,(B135-IF(J135="IO",Calculator!C22,Calculator!C21))*Calculator!C17),B135*Calculator!C17))</f>
        <v>4543.2796113862059</v>
      </c>
      <c r="G135" s="23">
        <f t="shared" si="6"/>
        <v>2524.5123613647293</v>
      </c>
      <c r="H135" s="23">
        <f t="shared" si="7"/>
        <v>776323.42101912468</v>
      </c>
      <c r="I135" s="23">
        <f t="shared" si="9"/>
        <v>652729.62564024108</v>
      </c>
      <c r="J135" s="24" t="str">
        <f>IF(A135="","",IF(A135&lt;=Calculator!C19,"IO","P&amp;I"))</f>
        <v>P&amp;I</v>
      </c>
    </row>
    <row r="136" spans="1:10" ht="15.75" customHeight="1" x14ac:dyDescent="0.25">
      <c r="A136" s="19">
        <f>IF(125&lt;=Calculator!C18,125,"")</f>
        <v>125</v>
      </c>
      <c r="B136" s="20">
        <f t="shared" si="8"/>
        <v>776323.42101912468</v>
      </c>
      <c r="C136" s="20">
        <f>IF(A136="","",IF(J136="IO",Calculator!C22,IF(B136&gt;0,MIN(Calculator!C21,B136*(1+Calculator!C17)),0)))</f>
        <v>7067.7919727509352</v>
      </c>
      <c r="D136" s="20">
        <f>IF(A136="","",IF(AND(J136="P&amp;I",A136&gt;=Calculator!C9),MIN(Calculator!C8,MAX(0,B136-C136+F136)),0))</f>
        <v>0</v>
      </c>
      <c r="E136" s="20">
        <f t="shared" si="5"/>
        <v>7067.7919727509352</v>
      </c>
      <c r="F136" s="20">
        <f>IF(A136="","",IF(Calculator!C12="Beginning of Period",MAX(0,(B136-IF(J136="IO",Calculator!C22,Calculator!C21))*Calculator!C17),B136*Calculator!C17))</f>
        <v>4528.5532892782458</v>
      </c>
      <c r="G136" s="20">
        <f t="shared" si="6"/>
        <v>2539.2386834726894</v>
      </c>
      <c r="H136" s="20">
        <f t="shared" si="7"/>
        <v>773784.18233565195</v>
      </c>
      <c r="I136" s="20">
        <f t="shared" si="9"/>
        <v>657258.17892951937</v>
      </c>
      <c r="J136" s="21" t="str">
        <f>IF(A136="","",IF(A136&lt;=Calculator!C19,"IO","P&amp;I"))</f>
        <v>P&amp;I</v>
      </c>
    </row>
    <row r="137" spans="1:10" ht="15.75" customHeight="1" x14ac:dyDescent="0.25">
      <c r="A137" s="22">
        <f>IF(126&lt;=Calculator!C18,126,"")</f>
        <v>126</v>
      </c>
      <c r="B137" s="23">
        <f t="shared" si="8"/>
        <v>773784.18233565195</v>
      </c>
      <c r="C137" s="23">
        <f>IF(A137="","",IF(J137="IO",Calculator!C22,IF(B137&gt;0,MIN(Calculator!C21,B137*(1+Calculator!C17)),0)))</f>
        <v>7067.7919727509352</v>
      </c>
      <c r="D137" s="23">
        <f>IF(A137="","",IF(AND(J137="P&amp;I",A137&gt;=Calculator!C9),MIN(Calculator!C8,MAX(0,B137-C137+F137)),0))</f>
        <v>0</v>
      </c>
      <c r="E137" s="23">
        <f t="shared" si="5"/>
        <v>7067.7919727509352</v>
      </c>
      <c r="F137" s="23">
        <f>IF(A137="","",IF(Calculator!C12="Beginning of Period",MAX(0,(B137-IF(J137="IO",Calculator!C22,Calculator!C21))*Calculator!C17),B137*Calculator!C17))</f>
        <v>4513.741063624655</v>
      </c>
      <c r="G137" s="23">
        <f t="shared" si="6"/>
        <v>2554.0509091262802</v>
      </c>
      <c r="H137" s="23">
        <f t="shared" si="7"/>
        <v>771230.13142652565</v>
      </c>
      <c r="I137" s="23">
        <f t="shared" si="9"/>
        <v>661771.91999314399</v>
      </c>
      <c r="J137" s="24" t="str">
        <f>IF(A137="","",IF(A137&lt;=Calculator!C19,"IO","P&amp;I"))</f>
        <v>P&amp;I</v>
      </c>
    </row>
    <row r="138" spans="1:10" ht="15.75" customHeight="1" x14ac:dyDescent="0.25">
      <c r="A138" s="19">
        <f>IF(127&lt;=Calculator!C18,127,"")</f>
        <v>127</v>
      </c>
      <c r="B138" s="20">
        <f t="shared" si="8"/>
        <v>771230.13142652565</v>
      </c>
      <c r="C138" s="20">
        <f>IF(A138="","",IF(J138="IO",Calculator!C22,IF(B138&gt;0,MIN(Calculator!C21,B138*(1+Calculator!C17)),0)))</f>
        <v>7067.7919727509352</v>
      </c>
      <c r="D138" s="20">
        <f>IF(A138="","",IF(AND(J138="P&amp;I",A138&gt;=Calculator!C9),MIN(Calculator!C8,MAX(0,B138-C138+F138)),0))</f>
        <v>0</v>
      </c>
      <c r="E138" s="20">
        <f t="shared" si="5"/>
        <v>7067.7919727509352</v>
      </c>
      <c r="F138" s="20">
        <f>IF(A138="","",IF(Calculator!C12="Beginning of Period",MAX(0,(B138-IF(J138="IO",Calculator!C22,Calculator!C21))*Calculator!C17),B138*Calculator!C17))</f>
        <v>4498.842433321418</v>
      </c>
      <c r="G138" s="20">
        <f t="shared" si="6"/>
        <v>2568.9495394295172</v>
      </c>
      <c r="H138" s="20">
        <f t="shared" si="7"/>
        <v>768661.18188709614</v>
      </c>
      <c r="I138" s="20">
        <f t="shared" si="9"/>
        <v>666270.7624264654</v>
      </c>
      <c r="J138" s="21" t="str">
        <f>IF(A138="","",IF(A138&lt;=Calculator!C19,"IO","P&amp;I"))</f>
        <v>P&amp;I</v>
      </c>
    </row>
    <row r="139" spans="1:10" ht="15.75" customHeight="1" x14ac:dyDescent="0.25">
      <c r="A139" s="22">
        <f>IF(128&lt;=Calculator!C18,128,"")</f>
        <v>128</v>
      </c>
      <c r="B139" s="23">
        <f t="shared" si="8"/>
        <v>768661.18188709614</v>
      </c>
      <c r="C139" s="23">
        <f>IF(A139="","",IF(J139="IO",Calculator!C22,IF(B139&gt;0,MIN(Calculator!C21,B139*(1+Calculator!C17)),0)))</f>
        <v>7067.7919727509352</v>
      </c>
      <c r="D139" s="23">
        <f>IF(A139="","",IF(AND(J139="P&amp;I",A139&gt;=Calculator!C9),MIN(Calculator!C8,MAX(0,B139-C139+F139)),0))</f>
        <v>0</v>
      </c>
      <c r="E139" s="23">
        <f t="shared" si="5"/>
        <v>7067.7919727509352</v>
      </c>
      <c r="F139" s="23">
        <f>IF(A139="","",IF(Calculator!C12="Beginning of Period",MAX(0,(B139-IF(J139="IO",Calculator!C22,Calculator!C21))*Calculator!C17),B139*Calculator!C17))</f>
        <v>4483.856894341412</v>
      </c>
      <c r="G139" s="23">
        <f t="shared" si="6"/>
        <v>2583.9350784095232</v>
      </c>
      <c r="H139" s="23">
        <f t="shared" si="7"/>
        <v>766077.24680868664</v>
      </c>
      <c r="I139" s="23">
        <f t="shared" si="9"/>
        <v>670754.61932080681</v>
      </c>
      <c r="J139" s="24" t="str">
        <f>IF(A139="","",IF(A139&lt;=Calculator!C19,"IO","P&amp;I"))</f>
        <v>P&amp;I</v>
      </c>
    </row>
    <row r="140" spans="1:10" ht="15.75" customHeight="1" x14ac:dyDescent="0.25">
      <c r="A140" s="19">
        <f>IF(129&lt;=Calculator!C18,129,"")</f>
        <v>129</v>
      </c>
      <c r="B140" s="20">
        <f t="shared" si="8"/>
        <v>766077.24680868664</v>
      </c>
      <c r="C140" s="20">
        <f>IF(A140="","",IF(J140="IO",Calculator!C22,IF(B140&gt;0,MIN(Calculator!C21,B140*(1+Calculator!C17)),0)))</f>
        <v>7067.7919727509352</v>
      </c>
      <c r="D140" s="20">
        <f>IF(A140="","",IF(AND(J140="P&amp;I",A140&gt;=Calculator!C9),MIN(Calculator!C8,MAX(0,B140-C140+F140)),0))</f>
        <v>0</v>
      </c>
      <c r="E140" s="20">
        <f t="shared" ref="E140:E203" si="10">IF(A140="","",C140+D140)</f>
        <v>7067.7919727509352</v>
      </c>
      <c r="F140" s="20">
        <f>IF(A140="","",IF(Calculator!C12="Beginning of Period",MAX(0,(B140-IF(J140="IO",Calculator!C22,Calculator!C21))*Calculator!C17),B140*Calculator!C17))</f>
        <v>4468.7839397173566</v>
      </c>
      <c r="G140" s="20">
        <f t="shared" ref="G140:G203" si="11">IF(A140="","",IF(J140="IO",0,MAX(0,C140-F140)))</f>
        <v>2599.0080330335786</v>
      </c>
      <c r="H140" s="20">
        <f t="shared" ref="H140:H203" si="12">IF(A140="","",MAX(0,B140-G140-D140))</f>
        <v>763478.23877565307</v>
      </c>
      <c r="I140" s="20">
        <f t="shared" si="9"/>
        <v>675223.40326052415</v>
      </c>
      <c r="J140" s="21" t="str">
        <f>IF(A140="","",IF(A140&lt;=Calculator!C19,"IO","P&amp;I"))</f>
        <v>P&amp;I</v>
      </c>
    </row>
    <row r="141" spans="1:10" ht="15.75" customHeight="1" x14ac:dyDescent="0.25">
      <c r="A141" s="22">
        <f>IF(130&lt;=Calculator!C18,130,"")</f>
        <v>130</v>
      </c>
      <c r="B141" s="23">
        <f t="shared" ref="B141:B204" si="13">IF(A141="","",H140)</f>
        <v>763478.23877565307</v>
      </c>
      <c r="C141" s="23">
        <f>IF(A141="","",IF(J141="IO",Calculator!C22,IF(B141&gt;0,MIN(Calculator!C21,B141*(1+Calculator!C17)),0)))</f>
        <v>7067.7919727509352</v>
      </c>
      <c r="D141" s="23">
        <f>IF(A141="","",IF(AND(J141="P&amp;I",A141&gt;=Calculator!C9),MIN(Calculator!C8,MAX(0,B141-C141+F141)),0))</f>
        <v>0</v>
      </c>
      <c r="E141" s="23">
        <f t="shared" si="10"/>
        <v>7067.7919727509352</v>
      </c>
      <c r="F141" s="23">
        <f>IF(A141="","",IF(Calculator!C12="Beginning of Period",MAX(0,(B141-IF(J141="IO",Calculator!C22,Calculator!C21))*Calculator!C17),B141*Calculator!C17))</f>
        <v>4453.6230595246607</v>
      </c>
      <c r="G141" s="23">
        <f t="shared" si="11"/>
        <v>2614.1689132262745</v>
      </c>
      <c r="H141" s="23">
        <f t="shared" si="12"/>
        <v>760864.06986242684</v>
      </c>
      <c r="I141" s="23">
        <f t="shared" ref="I141:I204" si="14">IF(A141="","",I140+F141)</f>
        <v>679677.02632004884</v>
      </c>
      <c r="J141" s="24" t="str">
        <f>IF(A141="","",IF(A141&lt;=Calculator!C19,"IO","P&amp;I"))</f>
        <v>P&amp;I</v>
      </c>
    </row>
    <row r="142" spans="1:10" ht="15.75" customHeight="1" x14ac:dyDescent="0.25">
      <c r="A142" s="19">
        <f>IF(131&lt;=Calculator!C18,131,"")</f>
        <v>131</v>
      </c>
      <c r="B142" s="20">
        <f t="shared" si="13"/>
        <v>760864.06986242684</v>
      </c>
      <c r="C142" s="20">
        <f>IF(A142="","",IF(J142="IO",Calculator!C22,IF(B142&gt;0,MIN(Calculator!C21,B142*(1+Calculator!C17)),0)))</f>
        <v>7067.7919727509352</v>
      </c>
      <c r="D142" s="20">
        <f>IF(A142="","",IF(AND(J142="P&amp;I",A142&gt;=Calculator!C9),MIN(Calculator!C8,MAX(0,B142-C142+F142)),0))</f>
        <v>0</v>
      </c>
      <c r="E142" s="20">
        <f t="shared" si="10"/>
        <v>7067.7919727509352</v>
      </c>
      <c r="F142" s="20">
        <f>IF(A142="","",IF(Calculator!C12="Beginning of Period",MAX(0,(B142-IF(J142="IO",Calculator!C22,Calculator!C21))*Calculator!C17),B142*Calculator!C17))</f>
        <v>4438.3737408641746</v>
      </c>
      <c r="G142" s="20">
        <f t="shared" si="11"/>
        <v>2629.4182318867606</v>
      </c>
      <c r="H142" s="20">
        <f t="shared" si="12"/>
        <v>758234.65163054003</v>
      </c>
      <c r="I142" s="20">
        <f t="shared" si="14"/>
        <v>684115.40006091306</v>
      </c>
      <c r="J142" s="21" t="str">
        <f>IF(A142="","",IF(A142&lt;=Calculator!C19,"IO","P&amp;I"))</f>
        <v>P&amp;I</v>
      </c>
    </row>
    <row r="143" spans="1:10" ht="15.75" customHeight="1" x14ac:dyDescent="0.25">
      <c r="A143" s="22">
        <f>IF(132&lt;=Calculator!C18,132,"")</f>
        <v>132</v>
      </c>
      <c r="B143" s="23">
        <f t="shared" si="13"/>
        <v>758234.65163054003</v>
      </c>
      <c r="C143" s="23">
        <f>IF(A143="","",IF(J143="IO",Calculator!C22,IF(B143&gt;0,MIN(Calculator!C21,B143*(1+Calculator!C17)),0)))</f>
        <v>7067.7919727509352</v>
      </c>
      <c r="D143" s="23">
        <f>IF(A143="","",IF(AND(J143="P&amp;I",A143&gt;=Calculator!C9),MIN(Calculator!C8,MAX(0,B143-C143+F143)),0))</f>
        <v>0</v>
      </c>
      <c r="E143" s="23">
        <f t="shared" si="10"/>
        <v>7067.7919727509352</v>
      </c>
      <c r="F143" s="23">
        <f>IF(A143="","",IF(Calculator!C12="Beginning of Period",MAX(0,(B143-IF(J143="IO",Calculator!C22,Calculator!C21))*Calculator!C17),B143*Calculator!C17))</f>
        <v>4423.0354678448348</v>
      </c>
      <c r="G143" s="23">
        <f t="shared" si="11"/>
        <v>2644.7565049061004</v>
      </c>
      <c r="H143" s="23">
        <f t="shared" si="12"/>
        <v>755589.89512563392</v>
      </c>
      <c r="I143" s="23">
        <f t="shared" si="14"/>
        <v>688538.43552875787</v>
      </c>
      <c r="J143" s="24" t="str">
        <f>IF(A143="","",IF(A143&lt;=Calculator!C19,"IO","P&amp;I"))</f>
        <v>P&amp;I</v>
      </c>
    </row>
    <row r="144" spans="1:10" ht="15.75" customHeight="1" x14ac:dyDescent="0.25">
      <c r="A144" s="19">
        <f>IF(133&lt;=Calculator!C18,133,"")</f>
        <v>133</v>
      </c>
      <c r="B144" s="20">
        <f t="shared" si="13"/>
        <v>755589.89512563392</v>
      </c>
      <c r="C144" s="20">
        <f>IF(A144="","",IF(J144="IO",Calculator!C22,IF(B144&gt;0,MIN(Calculator!C21,B144*(1+Calculator!C17)),0)))</f>
        <v>7067.7919727509352</v>
      </c>
      <c r="D144" s="20">
        <f>IF(A144="","",IF(AND(J144="P&amp;I",A144&gt;=Calculator!C9),MIN(Calculator!C8,MAX(0,B144-C144+F144)),0))</f>
        <v>0</v>
      </c>
      <c r="E144" s="20">
        <f t="shared" si="10"/>
        <v>7067.7919727509352</v>
      </c>
      <c r="F144" s="20">
        <f>IF(A144="","",IF(Calculator!C12="Beginning of Period",MAX(0,(B144-IF(J144="IO",Calculator!C22,Calculator!C21))*Calculator!C17),B144*Calculator!C17))</f>
        <v>4407.6077215662153</v>
      </c>
      <c r="G144" s="20">
        <f t="shared" si="11"/>
        <v>2660.1842511847199</v>
      </c>
      <c r="H144" s="20">
        <f t="shared" si="12"/>
        <v>752929.71087444923</v>
      </c>
      <c r="I144" s="20">
        <f t="shared" si="14"/>
        <v>692946.04325032409</v>
      </c>
      <c r="J144" s="21" t="str">
        <f>IF(A144="","",IF(A144&lt;=Calculator!C19,"IO","P&amp;I"))</f>
        <v>P&amp;I</v>
      </c>
    </row>
    <row r="145" spans="1:10" ht="15.75" customHeight="1" x14ac:dyDescent="0.25">
      <c r="A145" s="22">
        <f>IF(134&lt;=Calculator!C18,134,"")</f>
        <v>134</v>
      </c>
      <c r="B145" s="23">
        <f t="shared" si="13"/>
        <v>752929.71087444923</v>
      </c>
      <c r="C145" s="23">
        <f>IF(A145="","",IF(J145="IO",Calculator!C22,IF(B145&gt;0,MIN(Calculator!C21,B145*(1+Calculator!C17)),0)))</f>
        <v>7067.7919727509352</v>
      </c>
      <c r="D145" s="23">
        <f>IF(A145="","",IF(AND(J145="P&amp;I",A145&gt;=Calculator!C9),MIN(Calculator!C8,MAX(0,B145-C145+F145)),0))</f>
        <v>0</v>
      </c>
      <c r="E145" s="23">
        <f t="shared" si="10"/>
        <v>7067.7919727509352</v>
      </c>
      <c r="F145" s="23">
        <f>IF(A145="","",IF(Calculator!C12="Beginning of Period",MAX(0,(B145-IF(J145="IO",Calculator!C22,Calculator!C21))*Calculator!C17),B145*Calculator!C17))</f>
        <v>4392.0899801009718</v>
      </c>
      <c r="G145" s="23">
        <f t="shared" si="11"/>
        <v>2675.7019926499634</v>
      </c>
      <c r="H145" s="23">
        <f t="shared" si="12"/>
        <v>750254.00888179929</v>
      </c>
      <c r="I145" s="23">
        <f t="shared" si="14"/>
        <v>697338.13323042507</v>
      </c>
      <c r="J145" s="24" t="str">
        <f>IF(A145="","",IF(A145&lt;=Calculator!C19,"IO","P&amp;I"))</f>
        <v>P&amp;I</v>
      </c>
    </row>
    <row r="146" spans="1:10" ht="15.75" customHeight="1" x14ac:dyDescent="0.25">
      <c r="A146" s="19">
        <f>IF(135&lt;=Calculator!C18,135,"")</f>
        <v>135</v>
      </c>
      <c r="B146" s="20">
        <f t="shared" si="13"/>
        <v>750254.00888179929</v>
      </c>
      <c r="C146" s="20">
        <f>IF(A146="","",IF(J146="IO",Calculator!C22,IF(B146&gt;0,MIN(Calculator!C21,B146*(1+Calculator!C17)),0)))</f>
        <v>7067.7919727509352</v>
      </c>
      <c r="D146" s="20">
        <f>IF(A146="","",IF(AND(J146="P&amp;I",A146&gt;=Calculator!C9),MIN(Calculator!C8,MAX(0,B146-C146+F146)),0))</f>
        <v>0</v>
      </c>
      <c r="E146" s="20">
        <f t="shared" si="10"/>
        <v>7067.7919727509352</v>
      </c>
      <c r="F146" s="20">
        <f>IF(A146="","",IF(Calculator!C12="Beginning of Period",MAX(0,(B146-IF(J146="IO",Calculator!C22,Calculator!C21))*Calculator!C17),B146*Calculator!C17))</f>
        <v>4376.48171847718</v>
      </c>
      <c r="G146" s="20">
        <f t="shared" si="11"/>
        <v>2691.3102542737552</v>
      </c>
      <c r="H146" s="20">
        <f t="shared" si="12"/>
        <v>747562.69862752559</v>
      </c>
      <c r="I146" s="20">
        <f t="shared" si="14"/>
        <v>701714.61494890228</v>
      </c>
      <c r="J146" s="21" t="str">
        <f>IF(A146="","",IF(A146&lt;=Calculator!C19,"IO","P&amp;I"))</f>
        <v>P&amp;I</v>
      </c>
    </row>
    <row r="147" spans="1:10" ht="15.75" customHeight="1" x14ac:dyDescent="0.25">
      <c r="A147" s="22">
        <f>IF(136&lt;=Calculator!C18,136,"")</f>
        <v>136</v>
      </c>
      <c r="B147" s="23">
        <f t="shared" si="13"/>
        <v>747562.69862752559</v>
      </c>
      <c r="C147" s="23">
        <f>IF(A147="","",IF(J147="IO",Calculator!C22,IF(B147&gt;0,MIN(Calculator!C21,B147*(1+Calculator!C17)),0)))</f>
        <v>7067.7919727509352</v>
      </c>
      <c r="D147" s="23">
        <f>IF(A147="","",IF(AND(J147="P&amp;I",A147&gt;=Calculator!C9),MIN(Calculator!C8,MAX(0,B147-C147+F147)),0))</f>
        <v>0</v>
      </c>
      <c r="E147" s="23">
        <f t="shared" si="10"/>
        <v>7067.7919727509352</v>
      </c>
      <c r="F147" s="23">
        <f>IF(A147="","",IF(Calculator!C12="Beginning of Period",MAX(0,(B147-IF(J147="IO",Calculator!C22,Calculator!C21))*Calculator!C17),B147*Calculator!C17))</f>
        <v>4360.7824086605833</v>
      </c>
      <c r="G147" s="23">
        <f t="shared" si="11"/>
        <v>2707.0095640903519</v>
      </c>
      <c r="H147" s="23">
        <f t="shared" si="12"/>
        <v>744855.68906343519</v>
      </c>
      <c r="I147" s="23">
        <f t="shared" si="14"/>
        <v>706075.39735756291</v>
      </c>
      <c r="J147" s="24" t="str">
        <f>IF(A147="","",IF(A147&lt;=Calculator!C19,"IO","P&amp;I"))</f>
        <v>P&amp;I</v>
      </c>
    </row>
    <row r="148" spans="1:10" ht="15.75" customHeight="1" x14ac:dyDescent="0.25">
      <c r="A148" s="19">
        <f>IF(137&lt;=Calculator!C18,137,"")</f>
        <v>137</v>
      </c>
      <c r="B148" s="20">
        <f t="shared" si="13"/>
        <v>744855.68906343519</v>
      </c>
      <c r="C148" s="20">
        <f>IF(A148="","",IF(J148="IO",Calculator!C22,IF(B148&gt;0,MIN(Calculator!C21,B148*(1+Calculator!C17)),0)))</f>
        <v>7067.7919727509352</v>
      </c>
      <c r="D148" s="20">
        <f>IF(A148="","",IF(AND(J148="P&amp;I",A148&gt;=Calculator!C9),MIN(Calculator!C8,MAX(0,B148-C148+F148)),0))</f>
        <v>0</v>
      </c>
      <c r="E148" s="20">
        <f t="shared" si="10"/>
        <v>7067.7919727509352</v>
      </c>
      <c r="F148" s="20">
        <f>IF(A148="","",IF(Calculator!C12="Beginning of Period",MAX(0,(B148-IF(J148="IO",Calculator!C22,Calculator!C21))*Calculator!C17),B148*Calculator!C17))</f>
        <v>4344.991519536723</v>
      </c>
      <c r="G148" s="20">
        <f t="shared" si="11"/>
        <v>2722.8004532142122</v>
      </c>
      <c r="H148" s="20">
        <f t="shared" si="12"/>
        <v>742132.88861022098</v>
      </c>
      <c r="I148" s="20">
        <f t="shared" si="14"/>
        <v>710420.38887709961</v>
      </c>
      <c r="J148" s="21" t="str">
        <f>IF(A148="","",IF(A148&lt;=Calculator!C19,"IO","P&amp;I"))</f>
        <v>P&amp;I</v>
      </c>
    </row>
    <row r="149" spans="1:10" ht="15.75" customHeight="1" x14ac:dyDescent="0.25">
      <c r="A149" s="22">
        <f>IF(138&lt;=Calculator!C18,138,"")</f>
        <v>138</v>
      </c>
      <c r="B149" s="23">
        <f t="shared" si="13"/>
        <v>742132.88861022098</v>
      </c>
      <c r="C149" s="23">
        <f>IF(A149="","",IF(J149="IO",Calculator!C22,IF(B149&gt;0,MIN(Calculator!C21,B149*(1+Calculator!C17)),0)))</f>
        <v>7067.7919727509352</v>
      </c>
      <c r="D149" s="23">
        <f>IF(A149="","",IF(AND(J149="P&amp;I",A149&gt;=Calculator!C9),MIN(Calculator!C8,MAX(0,B149-C149+F149)),0))</f>
        <v>0</v>
      </c>
      <c r="E149" s="23">
        <f t="shared" si="10"/>
        <v>7067.7919727509352</v>
      </c>
      <c r="F149" s="23">
        <f>IF(A149="","",IF(Calculator!C12="Beginning of Period",MAX(0,(B149-IF(J149="IO",Calculator!C22,Calculator!C21))*Calculator!C17),B149*Calculator!C17))</f>
        <v>4329.1085168929731</v>
      </c>
      <c r="G149" s="23">
        <f t="shared" si="11"/>
        <v>2738.6834558579621</v>
      </c>
      <c r="H149" s="23">
        <f t="shared" si="12"/>
        <v>739394.20515436307</v>
      </c>
      <c r="I149" s="23">
        <f t="shared" si="14"/>
        <v>714749.49739399261</v>
      </c>
      <c r="J149" s="24" t="str">
        <f>IF(A149="","",IF(A149&lt;=Calculator!C19,"IO","P&amp;I"))</f>
        <v>P&amp;I</v>
      </c>
    </row>
    <row r="150" spans="1:10" ht="15.75" customHeight="1" x14ac:dyDescent="0.25">
      <c r="A150" s="19">
        <f>IF(139&lt;=Calculator!C18,139,"")</f>
        <v>139</v>
      </c>
      <c r="B150" s="20">
        <f t="shared" si="13"/>
        <v>739394.20515436307</v>
      </c>
      <c r="C150" s="20">
        <f>IF(A150="","",IF(J150="IO",Calculator!C22,IF(B150&gt;0,MIN(Calculator!C21,B150*(1+Calculator!C17)),0)))</f>
        <v>7067.7919727509352</v>
      </c>
      <c r="D150" s="20">
        <f>IF(A150="","",IF(AND(J150="P&amp;I",A150&gt;=Calculator!C9),MIN(Calculator!C8,MAX(0,B150-C150+F150)),0))</f>
        <v>0</v>
      </c>
      <c r="E150" s="20">
        <f t="shared" si="10"/>
        <v>7067.7919727509352</v>
      </c>
      <c r="F150" s="20">
        <f>IF(A150="","",IF(Calculator!C12="Beginning of Period",MAX(0,(B150-IF(J150="IO",Calculator!C22,Calculator!C21))*Calculator!C17),B150*Calculator!C17))</f>
        <v>4313.1328634004685</v>
      </c>
      <c r="G150" s="20">
        <f t="shared" si="11"/>
        <v>2754.6591093504667</v>
      </c>
      <c r="H150" s="20">
        <f t="shared" si="12"/>
        <v>736639.54604501266</v>
      </c>
      <c r="I150" s="20">
        <f t="shared" si="14"/>
        <v>719062.63025739312</v>
      </c>
      <c r="J150" s="21" t="str">
        <f>IF(A150="","",IF(A150&lt;=Calculator!C19,"IO","P&amp;I"))</f>
        <v>P&amp;I</v>
      </c>
    </row>
    <row r="151" spans="1:10" ht="15.75" customHeight="1" x14ac:dyDescent="0.25">
      <c r="A151" s="22">
        <f>IF(140&lt;=Calculator!C18,140,"")</f>
        <v>140</v>
      </c>
      <c r="B151" s="23">
        <f t="shared" si="13"/>
        <v>736639.54604501266</v>
      </c>
      <c r="C151" s="23">
        <f>IF(A151="","",IF(J151="IO",Calculator!C22,IF(B151&gt;0,MIN(Calculator!C21,B151*(1+Calculator!C17)),0)))</f>
        <v>7067.7919727509352</v>
      </c>
      <c r="D151" s="23">
        <f>IF(A151="","",IF(AND(J151="P&amp;I",A151&gt;=Calculator!C9),MIN(Calculator!C8,MAX(0,B151-C151+F151)),0))</f>
        <v>0</v>
      </c>
      <c r="E151" s="23">
        <f t="shared" si="10"/>
        <v>7067.7919727509352</v>
      </c>
      <c r="F151" s="23">
        <f>IF(A151="","",IF(Calculator!C12="Beginning of Period",MAX(0,(B151-IF(J151="IO",Calculator!C22,Calculator!C21))*Calculator!C17),B151*Calculator!C17))</f>
        <v>4297.0640185959246</v>
      </c>
      <c r="G151" s="23">
        <f t="shared" si="11"/>
        <v>2770.7279541550106</v>
      </c>
      <c r="H151" s="23">
        <f t="shared" si="12"/>
        <v>733868.81809085759</v>
      </c>
      <c r="I151" s="23">
        <f t="shared" si="14"/>
        <v>723359.69427598908</v>
      </c>
      <c r="J151" s="24" t="str">
        <f>IF(A151="","",IF(A151&lt;=Calculator!C19,"IO","P&amp;I"))</f>
        <v>P&amp;I</v>
      </c>
    </row>
    <row r="152" spans="1:10" ht="15.75" customHeight="1" x14ac:dyDescent="0.25">
      <c r="A152" s="19">
        <f>IF(141&lt;=Calculator!C18,141,"")</f>
        <v>141</v>
      </c>
      <c r="B152" s="20">
        <f t="shared" si="13"/>
        <v>733868.81809085759</v>
      </c>
      <c r="C152" s="20">
        <f>IF(A152="","",IF(J152="IO",Calculator!C22,IF(B152&gt;0,MIN(Calculator!C21,B152*(1+Calculator!C17)),0)))</f>
        <v>7067.7919727509352</v>
      </c>
      <c r="D152" s="20">
        <f>IF(A152="","",IF(AND(J152="P&amp;I",A152&gt;=Calculator!C9),MIN(Calculator!C8,MAX(0,B152-C152+F152)),0))</f>
        <v>0</v>
      </c>
      <c r="E152" s="20">
        <f t="shared" si="10"/>
        <v>7067.7919727509352</v>
      </c>
      <c r="F152" s="20">
        <f>IF(A152="","",IF(Calculator!C12="Beginning of Period",MAX(0,(B152-IF(J152="IO",Calculator!C22,Calculator!C21))*Calculator!C17),B152*Calculator!C17))</f>
        <v>4280.9014388633532</v>
      </c>
      <c r="G152" s="20">
        <f t="shared" si="11"/>
        <v>2786.890533887582</v>
      </c>
      <c r="H152" s="20">
        <f t="shared" si="12"/>
        <v>731081.92755697004</v>
      </c>
      <c r="I152" s="20">
        <f t="shared" si="14"/>
        <v>727640.59571485245</v>
      </c>
      <c r="J152" s="21" t="str">
        <f>IF(A152="","",IF(A152&lt;=Calculator!C19,"IO","P&amp;I"))</f>
        <v>P&amp;I</v>
      </c>
    </row>
    <row r="153" spans="1:10" ht="15.75" customHeight="1" x14ac:dyDescent="0.25">
      <c r="A153" s="22">
        <f>IF(142&lt;=Calculator!C18,142,"")</f>
        <v>142</v>
      </c>
      <c r="B153" s="23">
        <f t="shared" si="13"/>
        <v>731081.92755697004</v>
      </c>
      <c r="C153" s="23">
        <f>IF(A153="","",IF(J153="IO",Calculator!C22,IF(B153&gt;0,MIN(Calculator!C21,B153*(1+Calculator!C17)),0)))</f>
        <v>7067.7919727509352</v>
      </c>
      <c r="D153" s="23">
        <f>IF(A153="","",IF(AND(J153="P&amp;I",A153&gt;=Calculator!C9),MIN(Calculator!C8,MAX(0,B153-C153+F153)),0))</f>
        <v>0</v>
      </c>
      <c r="E153" s="23">
        <f t="shared" si="10"/>
        <v>7067.7919727509352</v>
      </c>
      <c r="F153" s="23">
        <f>IF(A153="","",IF(Calculator!C12="Beginning of Period",MAX(0,(B153-IF(J153="IO",Calculator!C22,Calculator!C21))*Calculator!C17),B153*Calculator!C17))</f>
        <v>4264.6445774156755</v>
      </c>
      <c r="G153" s="23">
        <f t="shared" si="11"/>
        <v>2803.1473953352597</v>
      </c>
      <c r="H153" s="23">
        <f t="shared" si="12"/>
        <v>728278.78016163479</v>
      </c>
      <c r="I153" s="23">
        <f t="shared" si="14"/>
        <v>731905.24029226811</v>
      </c>
      <c r="J153" s="24" t="str">
        <f>IF(A153="","",IF(A153&lt;=Calculator!C19,"IO","P&amp;I"))</f>
        <v>P&amp;I</v>
      </c>
    </row>
    <row r="154" spans="1:10" ht="15.75" customHeight="1" x14ac:dyDescent="0.25">
      <c r="A154" s="19">
        <f>IF(143&lt;=Calculator!C18,143,"")</f>
        <v>143</v>
      </c>
      <c r="B154" s="20">
        <f t="shared" si="13"/>
        <v>728278.78016163479</v>
      </c>
      <c r="C154" s="20">
        <f>IF(A154="","",IF(J154="IO",Calculator!C22,IF(B154&gt;0,MIN(Calculator!C21,B154*(1+Calculator!C17)),0)))</f>
        <v>7067.7919727509352</v>
      </c>
      <c r="D154" s="20">
        <f>IF(A154="","",IF(AND(J154="P&amp;I",A154&gt;=Calculator!C9),MIN(Calculator!C8,MAX(0,B154-C154+F154)),0))</f>
        <v>0</v>
      </c>
      <c r="E154" s="20">
        <f t="shared" si="10"/>
        <v>7067.7919727509352</v>
      </c>
      <c r="F154" s="20">
        <f>IF(A154="","",IF(Calculator!C12="Beginning of Period",MAX(0,(B154-IF(J154="IO",Calculator!C22,Calculator!C21))*Calculator!C17),B154*Calculator!C17))</f>
        <v>4248.2928842762203</v>
      </c>
      <c r="G154" s="20">
        <f t="shared" si="11"/>
        <v>2819.4990884747149</v>
      </c>
      <c r="H154" s="20">
        <f t="shared" si="12"/>
        <v>725459.28107316012</v>
      </c>
      <c r="I154" s="20">
        <f t="shared" si="14"/>
        <v>736153.53317654436</v>
      </c>
      <c r="J154" s="21" t="str">
        <f>IF(A154="","",IF(A154&lt;=Calculator!C19,"IO","P&amp;I"))</f>
        <v>P&amp;I</v>
      </c>
    </row>
    <row r="155" spans="1:10" ht="15.75" customHeight="1" x14ac:dyDescent="0.25">
      <c r="A155" s="22">
        <f>IF(144&lt;=Calculator!C18,144,"")</f>
        <v>144</v>
      </c>
      <c r="B155" s="23">
        <f t="shared" si="13"/>
        <v>725459.28107316012</v>
      </c>
      <c r="C155" s="23">
        <f>IF(A155="","",IF(J155="IO",Calculator!C22,IF(B155&gt;0,MIN(Calculator!C21,B155*(1+Calculator!C17)),0)))</f>
        <v>7067.7919727509352</v>
      </c>
      <c r="D155" s="23">
        <f>IF(A155="","",IF(AND(J155="P&amp;I",A155&gt;=Calculator!C9),MIN(Calculator!C8,MAX(0,B155-C155+F155)),0))</f>
        <v>0</v>
      </c>
      <c r="E155" s="23">
        <f t="shared" si="10"/>
        <v>7067.7919727509352</v>
      </c>
      <c r="F155" s="23">
        <f>IF(A155="","",IF(Calculator!C12="Beginning of Period",MAX(0,(B155-IF(J155="IO",Calculator!C22,Calculator!C21))*Calculator!C17),B155*Calculator!C17))</f>
        <v>4231.8458062601176</v>
      </c>
      <c r="G155" s="23">
        <f t="shared" si="11"/>
        <v>2835.9461664908176</v>
      </c>
      <c r="H155" s="23">
        <f t="shared" si="12"/>
        <v>722623.33490666933</v>
      </c>
      <c r="I155" s="23">
        <f t="shared" si="14"/>
        <v>740385.37898280448</v>
      </c>
      <c r="J155" s="24" t="str">
        <f>IF(A155="","",IF(A155&lt;=Calculator!C19,"IO","P&amp;I"))</f>
        <v>P&amp;I</v>
      </c>
    </row>
    <row r="156" spans="1:10" ht="15.75" customHeight="1" x14ac:dyDescent="0.25">
      <c r="A156" s="19">
        <f>IF(145&lt;=Calculator!C18,145,"")</f>
        <v>145</v>
      </c>
      <c r="B156" s="20">
        <f t="shared" si="13"/>
        <v>722623.33490666933</v>
      </c>
      <c r="C156" s="20">
        <f>IF(A156="","",IF(J156="IO",Calculator!C22,IF(B156&gt;0,MIN(Calculator!C21,B156*(1+Calculator!C17)),0)))</f>
        <v>7067.7919727509352</v>
      </c>
      <c r="D156" s="20">
        <f>IF(A156="","",IF(AND(J156="P&amp;I",A156&gt;=Calculator!C9),MIN(Calculator!C8,MAX(0,B156-C156+F156)),0))</f>
        <v>0</v>
      </c>
      <c r="E156" s="20">
        <f t="shared" si="10"/>
        <v>7067.7919727509352</v>
      </c>
      <c r="F156" s="20">
        <f>IF(A156="","",IF(Calculator!C12="Beginning of Period",MAX(0,(B156-IF(J156="IO",Calculator!C22,Calculator!C21))*Calculator!C17),B156*Calculator!C17))</f>
        <v>4215.3027869555881</v>
      </c>
      <c r="G156" s="20">
        <f t="shared" si="11"/>
        <v>2852.4891857953471</v>
      </c>
      <c r="H156" s="20">
        <f t="shared" si="12"/>
        <v>719770.84572087403</v>
      </c>
      <c r="I156" s="20">
        <f t="shared" si="14"/>
        <v>744600.68176976009</v>
      </c>
      <c r="J156" s="21" t="str">
        <f>IF(A156="","",IF(A156&lt;=Calculator!C19,"IO","P&amp;I"))</f>
        <v>P&amp;I</v>
      </c>
    </row>
    <row r="157" spans="1:10" ht="15.75" customHeight="1" x14ac:dyDescent="0.25">
      <c r="A157" s="22">
        <f>IF(146&lt;=Calculator!C18,146,"")</f>
        <v>146</v>
      </c>
      <c r="B157" s="23">
        <f t="shared" si="13"/>
        <v>719770.84572087403</v>
      </c>
      <c r="C157" s="23">
        <f>IF(A157="","",IF(J157="IO",Calculator!C22,IF(B157&gt;0,MIN(Calculator!C21,B157*(1+Calculator!C17)),0)))</f>
        <v>7067.7919727509352</v>
      </c>
      <c r="D157" s="23">
        <f>IF(A157="","",IF(AND(J157="P&amp;I",A157&gt;=Calculator!C9),MIN(Calculator!C8,MAX(0,B157-C157+F157)),0))</f>
        <v>0</v>
      </c>
      <c r="E157" s="23">
        <f t="shared" si="10"/>
        <v>7067.7919727509352</v>
      </c>
      <c r="F157" s="23">
        <f>IF(A157="","",IF(Calculator!C12="Beginning of Period",MAX(0,(B157-IF(J157="IO",Calculator!C22,Calculator!C21))*Calculator!C17),B157*Calculator!C17))</f>
        <v>4198.6632667051153</v>
      </c>
      <c r="G157" s="23">
        <f t="shared" si="11"/>
        <v>2869.1287060458199</v>
      </c>
      <c r="H157" s="23">
        <f t="shared" si="12"/>
        <v>716901.71701482823</v>
      </c>
      <c r="I157" s="23">
        <f t="shared" si="14"/>
        <v>748799.34503646521</v>
      </c>
      <c r="J157" s="24" t="str">
        <f>IF(A157="","",IF(A157&lt;=Calculator!C19,"IO","P&amp;I"))</f>
        <v>P&amp;I</v>
      </c>
    </row>
    <row r="158" spans="1:10" ht="15.75" customHeight="1" x14ac:dyDescent="0.25">
      <c r="A158" s="19">
        <f>IF(147&lt;=Calculator!C18,147,"")</f>
        <v>147</v>
      </c>
      <c r="B158" s="20">
        <f t="shared" si="13"/>
        <v>716901.71701482823</v>
      </c>
      <c r="C158" s="20">
        <f>IF(A158="","",IF(J158="IO",Calculator!C22,IF(B158&gt;0,MIN(Calculator!C21,B158*(1+Calculator!C17)),0)))</f>
        <v>7067.7919727509352</v>
      </c>
      <c r="D158" s="20">
        <f>IF(A158="","",IF(AND(J158="P&amp;I",A158&gt;=Calculator!C9),MIN(Calculator!C8,MAX(0,B158-C158+F158)),0))</f>
        <v>0</v>
      </c>
      <c r="E158" s="20">
        <f t="shared" si="10"/>
        <v>7067.7919727509352</v>
      </c>
      <c r="F158" s="20">
        <f>IF(A158="","",IF(Calculator!C12="Beginning of Period",MAX(0,(B158-IF(J158="IO",Calculator!C22,Calculator!C21))*Calculator!C17),B158*Calculator!C17))</f>
        <v>4181.9266825865152</v>
      </c>
      <c r="G158" s="20">
        <f t="shared" si="11"/>
        <v>2885.86529016442</v>
      </c>
      <c r="H158" s="20">
        <f t="shared" si="12"/>
        <v>714015.85172466387</v>
      </c>
      <c r="I158" s="20">
        <f t="shared" si="14"/>
        <v>752981.27171905176</v>
      </c>
      <c r="J158" s="21" t="str">
        <f>IF(A158="","",IF(A158&lt;=Calculator!C19,"IO","P&amp;I"))</f>
        <v>P&amp;I</v>
      </c>
    </row>
    <row r="159" spans="1:10" ht="15.75" customHeight="1" x14ac:dyDescent="0.25">
      <c r="A159" s="22">
        <f>IF(148&lt;=Calculator!C18,148,"")</f>
        <v>148</v>
      </c>
      <c r="B159" s="23">
        <f t="shared" si="13"/>
        <v>714015.85172466387</v>
      </c>
      <c r="C159" s="23">
        <f>IF(A159="","",IF(J159="IO",Calculator!C22,IF(B159&gt;0,MIN(Calculator!C21,B159*(1+Calculator!C17)),0)))</f>
        <v>7067.7919727509352</v>
      </c>
      <c r="D159" s="23">
        <f>IF(A159="","",IF(AND(J159="P&amp;I",A159&gt;=Calculator!C9),MIN(Calculator!C8,MAX(0,B159-C159+F159)),0))</f>
        <v>0</v>
      </c>
      <c r="E159" s="23">
        <f t="shared" si="10"/>
        <v>7067.7919727509352</v>
      </c>
      <c r="F159" s="23">
        <f>IF(A159="","",IF(Calculator!C12="Beginning of Period",MAX(0,(B159-IF(J159="IO",Calculator!C22,Calculator!C21))*Calculator!C17),B159*Calculator!C17))</f>
        <v>4165.0924683938892</v>
      </c>
      <c r="G159" s="23">
        <f t="shared" si="11"/>
        <v>2902.699504357046</v>
      </c>
      <c r="H159" s="23">
        <f t="shared" si="12"/>
        <v>711113.1522203068</v>
      </c>
      <c r="I159" s="23">
        <f t="shared" si="14"/>
        <v>757146.36418744561</v>
      </c>
      <c r="J159" s="24" t="str">
        <f>IF(A159="","",IF(A159&lt;=Calculator!C19,"IO","P&amp;I"))</f>
        <v>P&amp;I</v>
      </c>
    </row>
    <row r="160" spans="1:10" ht="15.75" customHeight="1" x14ac:dyDescent="0.25">
      <c r="A160" s="19">
        <f>IF(149&lt;=Calculator!C18,149,"")</f>
        <v>149</v>
      </c>
      <c r="B160" s="20">
        <f t="shared" si="13"/>
        <v>711113.1522203068</v>
      </c>
      <c r="C160" s="20">
        <f>IF(A160="","",IF(J160="IO",Calculator!C22,IF(B160&gt;0,MIN(Calculator!C21,B160*(1+Calculator!C17)),0)))</f>
        <v>7067.7919727509352</v>
      </c>
      <c r="D160" s="20">
        <f>IF(A160="","",IF(AND(J160="P&amp;I",A160&gt;=Calculator!C9),MIN(Calculator!C8,MAX(0,B160-C160+F160)),0))</f>
        <v>0</v>
      </c>
      <c r="E160" s="20">
        <f t="shared" si="10"/>
        <v>7067.7919727509352</v>
      </c>
      <c r="F160" s="20">
        <f>IF(A160="","",IF(Calculator!C12="Beginning of Period",MAX(0,(B160-IF(J160="IO",Calculator!C22,Calculator!C21))*Calculator!C17),B160*Calculator!C17))</f>
        <v>4148.1600546184736</v>
      </c>
      <c r="G160" s="20">
        <f t="shared" si="11"/>
        <v>2919.6319181324616</v>
      </c>
      <c r="H160" s="20">
        <f t="shared" si="12"/>
        <v>708193.52030217438</v>
      </c>
      <c r="I160" s="20">
        <f t="shared" si="14"/>
        <v>761294.5242420641</v>
      </c>
      <c r="J160" s="21" t="str">
        <f>IF(A160="","",IF(A160&lt;=Calculator!C19,"IO","P&amp;I"))</f>
        <v>P&amp;I</v>
      </c>
    </row>
    <row r="161" spans="1:10" ht="15.75" customHeight="1" x14ac:dyDescent="0.25">
      <c r="A161" s="22">
        <f>IF(150&lt;=Calculator!C18,150,"")</f>
        <v>150</v>
      </c>
      <c r="B161" s="23">
        <f t="shared" si="13"/>
        <v>708193.52030217438</v>
      </c>
      <c r="C161" s="23">
        <f>IF(A161="","",IF(J161="IO",Calculator!C22,IF(B161&gt;0,MIN(Calculator!C21,B161*(1+Calculator!C17)),0)))</f>
        <v>7067.7919727509352</v>
      </c>
      <c r="D161" s="23">
        <f>IF(A161="","",IF(AND(J161="P&amp;I",A161&gt;=Calculator!C9),MIN(Calculator!C8,MAX(0,B161-C161+F161)),0))</f>
        <v>0</v>
      </c>
      <c r="E161" s="23">
        <f t="shared" si="10"/>
        <v>7067.7919727509352</v>
      </c>
      <c r="F161" s="23">
        <f>IF(A161="","",IF(Calculator!C12="Beginning of Period",MAX(0,(B161-IF(J161="IO",Calculator!C22,Calculator!C21))*Calculator!C17),B161*Calculator!C17))</f>
        <v>4131.1288684293677</v>
      </c>
      <c r="G161" s="23">
        <f t="shared" si="11"/>
        <v>2936.6631043215675</v>
      </c>
      <c r="H161" s="23">
        <f t="shared" si="12"/>
        <v>705256.85719785281</v>
      </c>
      <c r="I161" s="23">
        <f t="shared" si="14"/>
        <v>765425.65311049344</v>
      </c>
      <c r="J161" s="24" t="str">
        <f>IF(A161="","",IF(A161&lt;=Calculator!C19,"IO","P&amp;I"))</f>
        <v>P&amp;I</v>
      </c>
    </row>
    <row r="162" spans="1:10" ht="15.75" customHeight="1" x14ac:dyDescent="0.25">
      <c r="A162" s="19">
        <f>IF(151&lt;=Calculator!C18,151,"")</f>
        <v>151</v>
      </c>
      <c r="B162" s="20">
        <f t="shared" si="13"/>
        <v>705256.85719785281</v>
      </c>
      <c r="C162" s="20">
        <f>IF(A162="","",IF(J162="IO",Calculator!C22,IF(B162&gt;0,MIN(Calculator!C21,B162*(1+Calculator!C17)),0)))</f>
        <v>7067.7919727509352</v>
      </c>
      <c r="D162" s="20">
        <f>IF(A162="","",IF(AND(J162="P&amp;I",A162&gt;=Calculator!C9),MIN(Calculator!C8,MAX(0,B162-C162+F162)),0))</f>
        <v>0</v>
      </c>
      <c r="E162" s="20">
        <f t="shared" si="10"/>
        <v>7067.7919727509352</v>
      </c>
      <c r="F162" s="20">
        <f>IF(A162="","",IF(Calculator!C12="Beginning of Period",MAX(0,(B162-IF(J162="IO",Calculator!C22,Calculator!C21))*Calculator!C17),B162*Calculator!C17))</f>
        <v>4113.9983336541582</v>
      </c>
      <c r="G162" s="20">
        <f t="shared" si="11"/>
        <v>2953.793639096777</v>
      </c>
      <c r="H162" s="20">
        <f t="shared" si="12"/>
        <v>702303.06355875602</v>
      </c>
      <c r="I162" s="20">
        <f t="shared" si="14"/>
        <v>769539.65144414757</v>
      </c>
      <c r="J162" s="21" t="str">
        <f>IF(A162="","",IF(A162&lt;=Calculator!C19,"IO","P&amp;I"))</f>
        <v>P&amp;I</v>
      </c>
    </row>
    <row r="163" spans="1:10" ht="15.75" customHeight="1" x14ac:dyDescent="0.25">
      <c r="A163" s="22">
        <f>IF(152&lt;=Calculator!C18,152,"")</f>
        <v>152</v>
      </c>
      <c r="B163" s="23">
        <f t="shared" si="13"/>
        <v>702303.06355875602</v>
      </c>
      <c r="C163" s="23">
        <f>IF(A163="","",IF(J163="IO",Calculator!C22,IF(B163&gt;0,MIN(Calculator!C21,B163*(1+Calculator!C17)),0)))</f>
        <v>7067.7919727509352</v>
      </c>
      <c r="D163" s="23">
        <f>IF(A163="","",IF(AND(J163="P&amp;I",A163&gt;=Calculator!C9),MIN(Calculator!C8,MAX(0,B163-C163+F163)),0))</f>
        <v>0</v>
      </c>
      <c r="E163" s="23">
        <f t="shared" si="10"/>
        <v>7067.7919727509352</v>
      </c>
      <c r="F163" s="23">
        <f>IF(A163="","",IF(Calculator!C12="Beginning of Period",MAX(0,(B163-IF(J163="IO",Calculator!C22,Calculator!C21))*Calculator!C17),B163*Calculator!C17))</f>
        <v>4096.7678707594268</v>
      </c>
      <c r="G163" s="23">
        <f t="shared" si="11"/>
        <v>2971.0241019915084</v>
      </c>
      <c r="H163" s="23">
        <f t="shared" si="12"/>
        <v>699332.03945676447</v>
      </c>
      <c r="I163" s="23">
        <f t="shared" si="14"/>
        <v>773636.41931490705</v>
      </c>
      <c r="J163" s="24" t="str">
        <f>IF(A163="","",IF(A163&lt;=Calculator!C19,"IO","P&amp;I"))</f>
        <v>P&amp;I</v>
      </c>
    </row>
    <row r="164" spans="1:10" ht="15.75" customHeight="1" x14ac:dyDescent="0.25">
      <c r="A164" s="19">
        <f>IF(153&lt;=Calculator!C18,153,"")</f>
        <v>153</v>
      </c>
      <c r="B164" s="20">
        <f t="shared" si="13"/>
        <v>699332.03945676447</v>
      </c>
      <c r="C164" s="20">
        <f>IF(A164="","",IF(J164="IO",Calculator!C22,IF(B164&gt;0,MIN(Calculator!C21,B164*(1+Calculator!C17)),0)))</f>
        <v>7067.7919727509352</v>
      </c>
      <c r="D164" s="20">
        <f>IF(A164="","",IF(AND(J164="P&amp;I",A164&gt;=Calculator!C9),MIN(Calculator!C8,MAX(0,B164-C164+F164)),0))</f>
        <v>0</v>
      </c>
      <c r="E164" s="20">
        <f t="shared" si="10"/>
        <v>7067.7919727509352</v>
      </c>
      <c r="F164" s="20">
        <f>IF(A164="","",IF(Calculator!C12="Beginning of Period",MAX(0,(B164-IF(J164="IO",Calculator!C22,Calculator!C21))*Calculator!C17),B164*Calculator!C17))</f>
        <v>4079.4368968311428</v>
      </c>
      <c r="G164" s="20">
        <f t="shared" si="11"/>
        <v>2988.3550759197924</v>
      </c>
      <c r="H164" s="20">
        <f t="shared" si="12"/>
        <v>696343.6843808447</v>
      </c>
      <c r="I164" s="20">
        <f t="shared" si="14"/>
        <v>777715.8562117382</v>
      </c>
      <c r="J164" s="21" t="str">
        <f>IF(A164="","",IF(A164&lt;=Calculator!C19,"IO","P&amp;I"))</f>
        <v>P&amp;I</v>
      </c>
    </row>
    <row r="165" spans="1:10" ht="15.75" customHeight="1" x14ac:dyDescent="0.25">
      <c r="A165" s="22">
        <f>IF(154&lt;=Calculator!C18,154,"")</f>
        <v>154</v>
      </c>
      <c r="B165" s="23">
        <f t="shared" si="13"/>
        <v>696343.6843808447</v>
      </c>
      <c r="C165" s="23">
        <f>IF(A165="","",IF(J165="IO",Calculator!C22,IF(B165&gt;0,MIN(Calculator!C21,B165*(1+Calculator!C17)),0)))</f>
        <v>7067.7919727509352</v>
      </c>
      <c r="D165" s="23">
        <f>IF(A165="","",IF(AND(J165="P&amp;I",A165&gt;=Calculator!C9),MIN(Calculator!C8,MAX(0,B165-C165+F165)),0))</f>
        <v>0</v>
      </c>
      <c r="E165" s="23">
        <f t="shared" si="10"/>
        <v>7067.7919727509352</v>
      </c>
      <c r="F165" s="23">
        <f>IF(A165="","",IF(Calculator!C12="Beginning of Period",MAX(0,(B165-IF(J165="IO",Calculator!C22,Calculator!C21))*Calculator!C17),B165*Calculator!C17))</f>
        <v>4062.0048255549441</v>
      </c>
      <c r="G165" s="23">
        <f t="shared" si="11"/>
        <v>3005.7871471959911</v>
      </c>
      <c r="H165" s="23">
        <f t="shared" si="12"/>
        <v>693337.89723364869</v>
      </c>
      <c r="I165" s="23">
        <f t="shared" si="14"/>
        <v>781777.8610372931</v>
      </c>
      <c r="J165" s="24" t="str">
        <f>IF(A165="","",IF(A165&lt;=Calculator!C19,"IO","P&amp;I"))</f>
        <v>P&amp;I</v>
      </c>
    </row>
    <row r="166" spans="1:10" ht="15.75" customHeight="1" x14ac:dyDescent="0.25">
      <c r="A166" s="19">
        <f>IF(155&lt;=Calculator!C18,155,"")</f>
        <v>155</v>
      </c>
      <c r="B166" s="20">
        <f t="shared" si="13"/>
        <v>693337.89723364869</v>
      </c>
      <c r="C166" s="20">
        <f>IF(A166="","",IF(J166="IO",Calculator!C22,IF(B166&gt;0,MIN(Calculator!C21,B166*(1+Calculator!C17)),0)))</f>
        <v>7067.7919727509352</v>
      </c>
      <c r="D166" s="20">
        <f>IF(A166="","",IF(AND(J166="P&amp;I",A166&gt;=Calculator!C9),MIN(Calculator!C8,MAX(0,B166-C166+F166)),0))</f>
        <v>0</v>
      </c>
      <c r="E166" s="20">
        <f t="shared" si="10"/>
        <v>7067.7919727509352</v>
      </c>
      <c r="F166" s="20">
        <f>IF(A166="","",IF(Calculator!C12="Beginning of Period",MAX(0,(B166-IF(J166="IO",Calculator!C22,Calculator!C21))*Calculator!C17),B166*Calculator!C17))</f>
        <v>4044.4710671963003</v>
      </c>
      <c r="G166" s="20">
        <f t="shared" si="11"/>
        <v>3023.3209055546349</v>
      </c>
      <c r="H166" s="20">
        <f t="shared" si="12"/>
        <v>690314.576328094</v>
      </c>
      <c r="I166" s="20">
        <f t="shared" si="14"/>
        <v>785822.33210448944</v>
      </c>
      <c r="J166" s="21" t="str">
        <f>IF(A166="","",IF(A166&lt;=Calculator!C19,"IO","P&amp;I"))</f>
        <v>P&amp;I</v>
      </c>
    </row>
    <row r="167" spans="1:10" ht="15.75" customHeight="1" x14ac:dyDescent="0.25">
      <c r="A167" s="22">
        <f>IF(156&lt;=Calculator!C18,156,"")</f>
        <v>156</v>
      </c>
      <c r="B167" s="23">
        <f t="shared" si="13"/>
        <v>690314.576328094</v>
      </c>
      <c r="C167" s="23">
        <f>IF(A167="","",IF(J167="IO",Calculator!C22,IF(B167&gt;0,MIN(Calculator!C21,B167*(1+Calculator!C17)),0)))</f>
        <v>7067.7919727509352</v>
      </c>
      <c r="D167" s="23">
        <f>IF(A167="","",IF(AND(J167="P&amp;I",A167&gt;=Calculator!C9),MIN(Calculator!C8,MAX(0,B167-C167+F167)),0))</f>
        <v>0</v>
      </c>
      <c r="E167" s="23">
        <f t="shared" si="10"/>
        <v>7067.7919727509352</v>
      </c>
      <c r="F167" s="23">
        <f>IF(A167="","",IF(Calculator!C12="Beginning of Period",MAX(0,(B167-IF(J167="IO",Calculator!C22,Calculator!C21))*Calculator!C17),B167*Calculator!C17))</f>
        <v>4026.8350285805645</v>
      </c>
      <c r="G167" s="23">
        <f t="shared" si="11"/>
        <v>3040.9569441703707</v>
      </c>
      <c r="H167" s="23">
        <f t="shared" si="12"/>
        <v>687273.61938392359</v>
      </c>
      <c r="I167" s="23">
        <f t="shared" si="14"/>
        <v>789849.16713307006</v>
      </c>
      <c r="J167" s="24" t="str">
        <f>IF(A167="","",IF(A167&lt;=Calculator!C19,"IO","P&amp;I"))</f>
        <v>P&amp;I</v>
      </c>
    </row>
    <row r="168" spans="1:10" ht="15.75" customHeight="1" x14ac:dyDescent="0.25">
      <c r="A168" s="19">
        <f>IF(157&lt;=Calculator!C18,157,"")</f>
        <v>157</v>
      </c>
      <c r="B168" s="20">
        <f t="shared" si="13"/>
        <v>687273.61938392359</v>
      </c>
      <c r="C168" s="20">
        <f>IF(A168="","",IF(J168="IO",Calculator!C22,IF(B168&gt;0,MIN(Calculator!C21,B168*(1+Calculator!C17)),0)))</f>
        <v>7067.7919727509352</v>
      </c>
      <c r="D168" s="20">
        <f>IF(A168="","",IF(AND(J168="P&amp;I",A168&gt;=Calculator!C9),MIN(Calculator!C8,MAX(0,B168-C168+F168)),0))</f>
        <v>0</v>
      </c>
      <c r="E168" s="20">
        <f t="shared" si="10"/>
        <v>7067.7919727509352</v>
      </c>
      <c r="F168" s="20">
        <f>IF(A168="","",IF(Calculator!C12="Beginning of Period",MAX(0,(B168-IF(J168="IO",Calculator!C22,Calculator!C21))*Calculator!C17),B168*Calculator!C17))</f>
        <v>4009.0961130729038</v>
      </c>
      <c r="G168" s="20">
        <f t="shared" si="11"/>
        <v>3058.6958596780314</v>
      </c>
      <c r="H168" s="20">
        <f t="shared" si="12"/>
        <v>684214.92352424562</v>
      </c>
      <c r="I168" s="20">
        <f t="shared" si="14"/>
        <v>793858.263246143</v>
      </c>
      <c r="J168" s="21" t="str">
        <f>IF(A168="","",IF(A168&lt;=Calculator!C19,"IO","P&amp;I"))</f>
        <v>P&amp;I</v>
      </c>
    </row>
    <row r="169" spans="1:10" ht="15.75" customHeight="1" x14ac:dyDescent="0.25">
      <c r="A169" s="22">
        <f>IF(158&lt;=Calculator!C18,158,"")</f>
        <v>158</v>
      </c>
      <c r="B169" s="23">
        <f t="shared" si="13"/>
        <v>684214.92352424562</v>
      </c>
      <c r="C169" s="23">
        <f>IF(A169="","",IF(J169="IO",Calculator!C22,IF(B169&gt;0,MIN(Calculator!C21,B169*(1+Calculator!C17)),0)))</f>
        <v>7067.7919727509352</v>
      </c>
      <c r="D169" s="23">
        <f>IF(A169="","",IF(AND(J169="P&amp;I",A169&gt;=Calculator!C9),MIN(Calculator!C8,MAX(0,B169-C169+F169)),0))</f>
        <v>0</v>
      </c>
      <c r="E169" s="23">
        <f t="shared" si="10"/>
        <v>7067.7919727509352</v>
      </c>
      <c r="F169" s="23">
        <f>IF(A169="","",IF(Calculator!C12="Beginning of Period",MAX(0,(B169-IF(J169="IO",Calculator!C22,Calculator!C21))*Calculator!C17),B169*Calculator!C17))</f>
        <v>3991.2537205581157</v>
      </c>
      <c r="G169" s="23">
        <f t="shared" si="11"/>
        <v>3076.5382521928195</v>
      </c>
      <c r="H169" s="23">
        <f t="shared" si="12"/>
        <v>681138.38527205284</v>
      </c>
      <c r="I169" s="23">
        <f t="shared" si="14"/>
        <v>797849.51696670114</v>
      </c>
      <c r="J169" s="24" t="str">
        <f>IF(A169="","",IF(A169&lt;=Calculator!C19,"IO","P&amp;I"))</f>
        <v>P&amp;I</v>
      </c>
    </row>
    <row r="170" spans="1:10" ht="15.75" customHeight="1" x14ac:dyDescent="0.25">
      <c r="A170" s="19">
        <f>IF(159&lt;=Calculator!C18,159,"")</f>
        <v>159</v>
      </c>
      <c r="B170" s="20">
        <f t="shared" si="13"/>
        <v>681138.38527205284</v>
      </c>
      <c r="C170" s="20">
        <f>IF(A170="","",IF(J170="IO",Calculator!C22,IF(B170&gt;0,MIN(Calculator!C21,B170*(1+Calculator!C17)),0)))</f>
        <v>7067.7919727509352</v>
      </c>
      <c r="D170" s="20">
        <f>IF(A170="","",IF(AND(J170="P&amp;I",A170&gt;=Calculator!C9),MIN(Calculator!C8,MAX(0,B170-C170+F170)),0))</f>
        <v>0</v>
      </c>
      <c r="E170" s="20">
        <f t="shared" si="10"/>
        <v>7067.7919727509352</v>
      </c>
      <c r="F170" s="20">
        <f>IF(A170="","",IF(Calculator!C12="Beginning of Period",MAX(0,(B170-IF(J170="IO",Calculator!C22,Calculator!C21))*Calculator!C17),B170*Calculator!C17))</f>
        <v>3973.3072474203245</v>
      </c>
      <c r="G170" s="20">
        <f t="shared" si="11"/>
        <v>3094.4847253306107</v>
      </c>
      <c r="H170" s="20">
        <f t="shared" si="12"/>
        <v>678043.90054672223</v>
      </c>
      <c r="I170" s="20">
        <f t="shared" si="14"/>
        <v>801822.82421412144</v>
      </c>
      <c r="J170" s="21" t="str">
        <f>IF(A170="","",IF(A170&lt;=Calculator!C19,"IO","P&amp;I"))</f>
        <v>P&amp;I</v>
      </c>
    </row>
    <row r="171" spans="1:10" ht="15.75" customHeight="1" x14ac:dyDescent="0.25">
      <c r="A171" s="22">
        <f>IF(160&lt;=Calculator!C18,160,"")</f>
        <v>160</v>
      </c>
      <c r="B171" s="23">
        <f t="shared" si="13"/>
        <v>678043.90054672223</v>
      </c>
      <c r="C171" s="23">
        <f>IF(A171="","",IF(J171="IO",Calculator!C22,IF(B171&gt;0,MIN(Calculator!C21,B171*(1+Calculator!C17)),0)))</f>
        <v>7067.7919727509352</v>
      </c>
      <c r="D171" s="23">
        <f>IF(A171="","",IF(AND(J171="P&amp;I",A171&gt;=Calculator!C9),MIN(Calculator!C8,MAX(0,B171-C171+F171)),0))</f>
        <v>0</v>
      </c>
      <c r="E171" s="23">
        <f t="shared" si="10"/>
        <v>7067.7919727509352</v>
      </c>
      <c r="F171" s="23">
        <f>IF(A171="","",IF(Calculator!C12="Beginning of Period",MAX(0,(B171-IF(J171="IO",Calculator!C22,Calculator!C21))*Calculator!C17),B171*Calculator!C17))</f>
        <v>3955.2560865225623</v>
      </c>
      <c r="G171" s="23">
        <f t="shared" si="11"/>
        <v>3112.5358862283729</v>
      </c>
      <c r="H171" s="23">
        <f t="shared" si="12"/>
        <v>674931.36466049391</v>
      </c>
      <c r="I171" s="23">
        <f t="shared" si="14"/>
        <v>805778.08030064404</v>
      </c>
      <c r="J171" s="24" t="str">
        <f>IF(A171="","",IF(A171&lt;=Calculator!C19,"IO","P&amp;I"))</f>
        <v>P&amp;I</v>
      </c>
    </row>
    <row r="172" spans="1:10" ht="15.75" customHeight="1" x14ac:dyDescent="0.25">
      <c r="A172" s="19">
        <f>IF(161&lt;=Calculator!C18,161,"")</f>
        <v>161</v>
      </c>
      <c r="B172" s="20">
        <f t="shared" si="13"/>
        <v>674931.36466049391</v>
      </c>
      <c r="C172" s="20">
        <f>IF(A172="","",IF(J172="IO",Calculator!C22,IF(B172&gt;0,MIN(Calculator!C21,B172*(1+Calculator!C17)),0)))</f>
        <v>7067.7919727509352</v>
      </c>
      <c r="D172" s="20">
        <f>IF(A172="","",IF(AND(J172="P&amp;I",A172&gt;=Calculator!C9),MIN(Calculator!C8,MAX(0,B172-C172+F172)),0))</f>
        <v>0</v>
      </c>
      <c r="E172" s="20">
        <f t="shared" si="10"/>
        <v>7067.7919727509352</v>
      </c>
      <c r="F172" s="20">
        <f>IF(A172="","",IF(Calculator!C12="Beginning of Period",MAX(0,(B172-IF(J172="IO",Calculator!C22,Calculator!C21))*Calculator!C17),B172*Calculator!C17))</f>
        <v>3937.0996271862305</v>
      </c>
      <c r="G172" s="20">
        <f t="shared" si="11"/>
        <v>3130.6923455647047</v>
      </c>
      <c r="H172" s="20">
        <f t="shared" si="12"/>
        <v>671800.67231492919</v>
      </c>
      <c r="I172" s="20">
        <f t="shared" si="14"/>
        <v>809715.17992783024</v>
      </c>
      <c r="J172" s="21" t="str">
        <f>IF(A172="","",IF(A172&lt;=Calculator!C19,"IO","P&amp;I"))</f>
        <v>P&amp;I</v>
      </c>
    </row>
    <row r="173" spans="1:10" ht="15.75" customHeight="1" x14ac:dyDescent="0.25">
      <c r="A173" s="22">
        <f>IF(162&lt;=Calculator!C18,162,"")</f>
        <v>162</v>
      </c>
      <c r="B173" s="23">
        <f t="shared" si="13"/>
        <v>671800.67231492919</v>
      </c>
      <c r="C173" s="23">
        <f>IF(A173="","",IF(J173="IO",Calculator!C22,IF(B173&gt;0,MIN(Calculator!C21,B173*(1+Calculator!C17)),0)))</f>
        <v>7067.7919727509352</v>
      </c>
      <c r="D173" s="23">
        <f>IF(A173="","",IF(AND(J173="P&amp;I",A173&gt;=Calculator!C9),MIN(Calculator!C8,MAX(0,B173-C173+F173)),0))</f>
        <v>0</v>
      </c>
      <c r="E173" s="23">
        <f t="shared" si="10"/>
        <v>7067.7919727509352</v>
      </c>
      <c r="F173" s="23">
        <f>IF(A173="","",IF(Calculator!C12="Beginning of Period",MAX(0,(B173-IF(J173="IO",Calculator!C22,Calculator!C21))*Calculator!C17),B173*Calculator!C17))</f>
        <v>3918.837255170436</v>
      </c>
      <c r="G173" s="23">
        <f t="shared" si="11"/>
        <v>3148.9547175804992</v>
      </c>
      <c r="H173" s="23">
        <f t="shared" si="12"/>
        <v>668651.71759734873</v>
      </c>
      <c r="I173" s="23">
        <f t="shared" si="14"/>
        <v>813634.01718300069</v>
      </c>
      <c r="J173" s="24" t="str">
        <f>IF(A173="","",IF(A173&lt;=Calculator!C19,"IO","P&amp;I"))</f>
        <v>P&amp;I</v>
      </c>
    </row>
    <row r="174" spans="1:10" ht="15.75" customHeight="1" x14ac:dyDescent="0.25">
      <c r="A174" s="19">
        <f>IF(163&lt;=Calculator!C18,163,"")</f>
        <v>163</v>
      </c>
      <c r="B174" s="20">
        <f t="shared" si="13"/>
        <v>668651.71759734873</v>
      </c>
      <c r="C174" s="20">
        <f>IF(A174="","",IF(J174="IO",Calculator!C22,IF(B174&gt;0,MIN(Calculator!C21,B174*(1+Calculator!C17)),0)))</f>
        <v>7067.7919727509352</v>
      </c>
      <c r="D174" s="20">
        <f>IF(A174="","",IF(AND(J174="P&amp;I",A174&gt;=Calculator!C9),MIN(Calculator!C8,MAX(0,B174-C174+F174)),0))</f>
        <v>0</v>
      </c>
      <c r="E174" s="20">
        <f t="shared" si="10"/>
        <v>7067.7919727509352</v>
      </c>
      <c r="F174" s="20">
        <f>IF(A174="","",IF(Calculator!C12="Beginning of Period",MAX(0,(B174-IF(J174="IO",Calculator!C22,Calculator!C21))*Calculator!C17),B174*Calculator!C17))</f>
        <v>3900.4683526512167</v>
      </c>
      <c r="G174" s="20">
        <f t="shared" si="11"/>
        <v>3167.3236200997185</v>
      </c>
      <c r="H174" s="20">
        <f t="shared" si="12"/>
        <v>665484.39397724904</v>
      </c>
      <c r="I174" s="20">
        <f t="shared" si="14"/>
        <v>817534.48553565191</v>
      </c>
      <c r="J174" s="21" t="str">
        <f>IF(A174="","",IF(A174&lt;=Calculator!C19,"IO","P&amp;I"))</f>
        <v>P&amp;I</v>
      </c>
    </row>
    <row r="175" spans="1:10" ht="15.75" customHeight="1" x14ac:dyDescent="0.25">
      <c r="A175" s="22">
        <f>IF(164&lt;=Calculator!C18,164,"")</f>
        <v>164</v>
      </c>
      <c r="B175" s="23">
        <f t="shared" si="13"/>
        <v>665484.39397724904</v>
      </c>
      <c r="C175" s="23">
        <f>IF(A175="","",IF(J175="IO",Calculator!C22,IF(B175&gt;0,MIN(Calculator!C21,B175*(1+Calculator!C17)),0)))</f>
        <v>7067.7919727509352</v>
      </c>
      <c r="D175" s="23">
        <f>IF(A175="","",IF(AND(J175="P&amp;I",A175&gt;=Calculator!C9),MIN(Calculator!C8,MAX(0,B175-C175+F175)),0))</f>
        <v>0</v>
      </c>
      <c r="E175" s="23">
        <f t="shared" si="10"/>
        <v>7067.7919727509352</v>
      </c>
      <c r="F175" s="23">
        <f>IF(A175="","",IF(Calculator!C12="Beginning of Period",MAX(0,(B175-IF(J175="IO",Calculator!C22,Calculator!C21))*Calculator!C17),B175*Calculator!C17))</f>
        <v>3881.9922982006351</v>
      </c>
      <c r="G175" s="23">
        <f t="shared" si="11"/>
        <v>3185.7996745503001</v>
      </c>
      <c r="H175" s="23">
        <f t="shared" si="12"/>
        <v>662298.59430269874</v>
      </c>
      <c r="I175" s="23">
        <f t="shared" si="14"/>
        <v>821416.47783385252</v>
      </c>
      <c r="J175" s="24" t="str">
        <f>IF(A175="","",IF(A175&lt;=Calculator!C19,"IO","P&amp;I"))</f>
        <v>P&amp;I</v>
      </c>
    </row>
    <row r="176" spans="1:10" ht="15.75" customHeight="1" x14ac:dyDescent="0.25">
      <c r="A176" s="19">
        <f>IF(165&lt;=Calculator!C18,165,"")</f>
        <v>165</v>
      </c>
      <c r="B176" s="20">
        <f t="shared" si="13"/>
        <v>662298.59430269874</v>
      </c>
      <c r="C176" s="20">
        <f>IF(A176="","",IF(J176="IO",Calculator!C22,IF(B176&gt;0,MIN(Calculator!C21,B176*(1+Calculator!C17)),0)))</f>
        <v>7067.7919727509352</v>
      </c>
      <c r="D176" s="20">
        <f>IF(A176="","",IF(AND(J176="P&amp;I",A176&gt;=Calculator!C9),MIN(Calculator!C8,MAX(0,B176-C176+F176)),0))</f>
        <v>0</v>
      </c>
      <c r="E176" s="20">
        <f t="shared" si="10"/>
        <v>7067.7919727509352</v>
      </c>
      <c r="F176" s="20">
        <f>IF(A176="","",IF(Calculator!C12="Beginning of Period",MAX(0,(B176-IF(J176="IO",Calculator!C22,Calculator!C21))*Calculator!C17),B176*Calculator!C17))</f>
        <v>3863.4084667657585</v>
      </c>
      <c r="G176" s="20">
        <f t="shared" si="11"/>
        <v>3204.3835059851767</v>
      </c>
      <c r="H176" s="20">
        <f t="shared" si="12"/>
        <v>659094.2107967136</v>
      </c>
      <c r="I176" s="20">
        <f t="shared" si="14"/>
        <v>825279.88630061829</v>
      </c>
      <c r="J176" s="21" t="str">
        <f>IF(A176="","",IF(A176&lt;=Calculator!C19,"IO","P&amp;I"))</f>
        <v>P&amp;I</v>
      </c>
    </row>
    <row r="177" spans="1:10" ht="15.75" customHeight="1" x14ac:dyDescent="0.25">
      <c r="A177" s="22">
        <f>IF(166&lt;=Calculator!C18,166,"")</f>
        <v>166</v>
      </c>
      <c r="B177" s="23">
        <f t="shared" si="13"/>
        <v>659094.2107967136</v>
      </c>
      <c r="C177" s="23">
        <f>IF(A177="","",IF(J177="IO",Calculator!C22,IF(B177&gt;0,MIN(Calculator!C21,B177*(1+Calculator!C17)),0)))</f>
        <v>7067.7919727509352</v>
      </c>
      <c r="D177" s="23">
        <f>IF(A177="","",IF(AND(J177="P&amp;I",A177&gt;=Calculator!C9),MIN(Calculator!C8,MAX(0,B177-C177+F177)),0))</f>
        <v>0</v>
      </c>
      <c r="E177" s="23">
        <f t="shared" si="10"/>
        <v>7067.7919727509352</v>
      </c>
      <c r="F177" s="23">
        <f>IF(A177="","",IF(Calculator!C12="Beginning of Period",MAX(0,(B177-IF(J177="IO",Calculator!C22,Calculator!C21))*Calculator!C17),B177*Calculator!C17))</f>
        <v>3844.7162296475117</v>
      </c>
      <c r="G177" s="23">
        <f t="shared" si="11"/>
        <v>3223.0757431034235</v>
      </c>
      <c r="H177" s="23">
        <f t="shared" si="12"/>
        <v>655871.1350536102</v>
      </c>
      <c r="I177" s="23">
        <f t="shared" si="14"/>
        <v>829124.60253026581</v>
      </c>
      <c r="J177" s="24" t="str">
        <f>IF(A177="","",IF(A177&lt;=Calculator!C19,"IO","P&amp;I"))</f>
        <v>P&amp;I</v>
      </c>
    </row>
    <row r="178" spans="1:10" ht="15.75" customHeight="1" x14ac:dyDescent="0.25">
      <c r="A178" s="19">
        <f>IF(167&lt;=Calculator!C18,167,"")</f>
        <v>167</v>
      </c>
      <c r="B178" s="20">
        <f t="shared" si="13"/>
        <v>655871.1350536102</v>
      </c>
      <c r="C178" s="20">
        <f>IF(A178="","",IF(J178="IO",Calculator!C22,IF(B178&gt;0,MIN(Calculator!C21,B178*(1+Calculator!C17)),0)))</f>
        <v>7067.7919727509352</v>
      </c>
      <c r="D178" s="20">
        <f>IF(A178="","",IF(AND(J178="P&amp;I",A178&gt;=Calculator!C9),MIN(Calculator!C8,MAX(0,B178-C178+F178)),0))</f>
        <v>0</v>
      </c>
      <c r="E178" s="20">
        <f t="shared" si="10"/>
        <v>7067.7919727509352</v>
      </c>
      <c r="F178" s="20">
        <f>IF(A178="","",IF(Calculator!C12="Beginning of Period",MAX(0,(B178-IF(J178="IO",Calculator!C22,Calculator!C21))*Calculator!C17),B178*Calculator!C17))</f>
        <v>3825.9149544794082</v>
      </c>
      <c r="G178" s="20">
        <f t="shared" si="11"/>
        <v>3241.877018271527</v>
      </c>
      <c r="H178" s="20">
        <f t="shared" si="12"/>
        <v>652629.25803533872</v>
      </c>
      <c r="I178" s="20">
        <f t="shared" si="14"/>
        <v>832950.51748474524</v>
      </c>
      <c r="J178" s="21" t="str">
        <f>IF(A178="","",IF(A178&lt;=Calculator!C19,"IO","P&amp;I"))</f>
        <v>P&amp;I</v>
      </c>
    </row>
    <row r="179" spans="1:10" ht="15.75" customHeight="1" x14ac:dyDescent="0.25">
      <c r="A179" s="22">
        <f>IF(168&lt;=Calculator!C18,168,"")</f>
        <v>168</v>
      </c>
      <c r="B179" s="23">
        <f t="shared" si="13"/>
        <v>652629.25803533872</v>
      </c>
      <c r="C179" s="23">
        <f>IF(A179="","",IF(J179="IO",Calculator!C22,IF(B179&gt;0,MIN(Calculator!C21,B179*(1+Calculator!C17)),0)))</f>
        <v>7067.7919727509352</v>
      </c>
      <c r="D179" s="23">
        <f>IF(A179="","",IF(AND(J179="P&amp;I",A179&gt;=Calculator!C9),MIN(Calculator!C8,MAX(0,B179-C179+F179)),0))</f>
        <v>0</v>
      </c>
      <c r="E179" s="23">
        <f t="shared" si="10"/>
        <v>7067.7919727509352</v>
      </c>
      <c r="F179" s="23">
        <f>IF(A179="","",IF(Calculator!C12="Beginning of Period",MAX(0,(B179-IF(J179="IO",Calculator!C22,Calculator!C21))*Calculator!C17),B179*Calculator!C17))</f>
        <v>3807.0040052061581</v>
      </c>
      <c r="G179" s="23">
        <f t="shared" si="11"/>
        <v>3260.7879675447771</v>
      </c>
      <c r="H179" s="23">
        <f t="shared" si="12"/>
        <v>649368.47006779397</v>
      </c>
      <c r="I179" s="23">
        <f t="shared" si="14"/>
        <v>836757.52148995141</v>
      </c>
      <c r="J179" s="24" t="str">
        <f>IF(A179="","",IF(A179&lt;=Calculator!C19,"IO","P&amp;I"))</f>
        <v>P&amp;I</v>
      </c>
    </row>
    <row r="180" spans="1:10" ht="15.75" customHeight="1" x14ac:dyDescent="0.25">
      <c r="A180" s="19">
        <f>IF(169&lt;=Calculator!C18,169,"")</f>
        <v>169</v>
      </c>
      <c r="B180" s="20">
        <f t="shared" si="13"/>
        <v>649368.47006779397</v>
      </c>
      <c r="C180" s="20">
        <f>IF(A180="","",IF(J180="IO",Calculator!C22,IF(B180&gt;0,MIN(Calculator!C21,B180*(1+Calculator!C17)),0)))</f>
        <v>7067.7919727509352</v>
      </c>
      <c r="D180" s="20">
        <f>IF(A180="","",IF(AND(J180="P&amp;I",A180&gt;=Calculator!C9),MIN(Calculator!C8,MAX(0,B180-C180+F180)),0))</f>
        <v>0</v>
      </c>
      <c r="E180" s="20">
        <f t="shared" si="10"/>
        <v>7067.7919727509352</v>
      </c>
      <c r="F180" s="20">
        <f>IF(A180="","",IF(Calculator!C12="Beginning of Period",MAX(0,(B180-IF(J180="IO",Calculator!C22,Calculator!C21))*Calculator!C17),B180*Calculator!C17))</f>
        <v>3787.9827420621468</v>
      </c>
      <c r="G180" s="20">
        <f t="shared" si="11"/>
        <v>3279.8092306887884</v>
      </c>
      <c r="H180" s="20">
        <f t="shared" si="12"/>
        <v>646088.66083710513</v>
      </c>
      <c r="I180" s="20">
        <f t="shared" si="14"/>
        <v>840545.5042320136</v>
      </c>
      <c r="J180" s="21" t="str">
        <f>IF(A180="","",IF(A180&lt;=Calculator!C19,"IO","P&amp;I"))</f>
        <v>P&amp;I</v>
      </c>
    </row>
    <row r="181" spans="1:10" ht="15.75" customHeight="1" x14ac:dyDescent="0.25">
      <c r="A181" s="22">
        <f>IF(170&lt;=Calculator!C18,170,"")</f>
        <v>170</v>
      </c>
      <c r="B181" s="23">
        <f t="shared" si="13"/>
        <v>646088.66083710513</v>
      </c>
      <c r="C181" s="23">
        <f>IF(A181="","",IF(J181="IO",Calculator!C22,IF(B181&gt;0,MIN(Calculator!C21,B181*(1+Calculator!C17)),0)))</f>
        <v>7067.7919727509352</v>
      </c>
      <c r="D181" s="23">
        <f>IF(A181="","",IF(AND(J181="P&amp;I",A181&gt;=Calculator!C9),MIN(Calculator!C8,MAX(0,B181-C181+F181)),0))</f>
        <v>0</v>
      </c>
      <c r="E181" s="23">
        <f t="shared" si="10"/>
        <v>7067.7919727509352</v>
      </c>
      <c r="F181" s="23">
        <f>IF(A181="","",IF(Calculator!C12="Beginning of Period",MAX(0,(B181-IF(J181="IO",Calculator!C22,Calculator!C21))*Calculator!C17),B181*Calculator!C17))</f>
        <v>3768.8505215497953</v>
      </c>
      <c r="G181" s="23">
        <f t="shared" si="11"/>
        <v>3298.9414512011399</v>
      </c>
      <c r="H181" s="23">
        <f t="shared" si="12"/>
        <v>642789.71938590403</v>
      </c>
      <c r="I181" s="23">
        <f t="shared" si="14"/>
        <v>844314.35475356341</v>
      </c>
      <c r="J181" s="24" t="str">
        <f>IF(A181="","",IF(A181&lt;=Calculator!C19,"IO","P&amp;I"))</f>
        <v>P&amp;I</v>
      </c>
    </row>
    <row r="182" spans="1:10" ht="15.75" customHeight="1" x14ac:dyDescent="0.25">
      <c r="A182" s="19">
        <f>IF(171&lt;=Calculator!C18,171,"")</f>
        <v>171</v>
      </c>
      <c r="B182" s="20">
        <f t="shared" si="13"/>
        <v>642789.71938590403</v>
      </c>
      <c r="C182" s="20">
        <f>IF(A182="","",IF(J182="IO",Calculator!C22,IF(B182&gt;0,MIN(Calculator!C21,B182*(1+Calculator!C17)),0)))</f>
        <v>7067.7919727509352</v>
      </c>
      <c r="D182" s="20">
        <f>IF(A182="","",IF(AND(J182="P&amp;I",A182&gt;=Calculator!C9),MIN(Calculator!C8,MAX(0,B182-C182+F182)),0))</f>
        <v>0</v>
      </c>
      <c r="E182" s="20">
        <f t="shared" si="10"/>
        <v>7067.7919727509352</v>
      </c>
      <c r="F182" s="20">
        <f>IF(A182="","",IF(Calculator!C12="Beginning of Period",MAX(0,(B182-IF(J182="IO",Calculator!C22,Calculator!C21))*Calculator!C17),B182*Calculator!C17))</f>
        <v>3749.6066964177885</v>
      </c>
      <c r="G182" s="20">
        <f t="shared" si="11"/>
        <v>3318.1852763331467</v>
      </c>
      <c r="H182" s="20">
        <f t="shared" si="12"/>
        <v>639471.5341095709</v>
      </c>
      <c r="I182" s="20">
        <f t="shared" si="14"/>
        <v>848063.9614499812</v>
      </c>
      <c r="J182" s="21" t="str">
        <f>IF(A182="","",IF(A182&lt;=Calculator!C19,"IO","P&amp;I"))</f>
        <v>P&amp;I</v>
      </c>
    </row>
    <row r="183" spans="1:10" ht="15.75" customHeight="1" x14ac:dyDescent="0.25">
      <c r="A183" s="22">
        <f>IF(172&lt;=Calculator!C18,172,"")</f>
        <v>172</v>
      </c>
      <c r="B183" s="23">
        <f t="shared" si="13"/>
        <v>639471.5341095709</v>
      </c>
      <c r="C183" s="23">
        <f>IF(A183="","",IF(J183="IO",Calculator!C22,IF(B183&gt;0,MIN(Calculator!C21,B183*(1+Calculator!C17)),0)))</f>
        <v>7067.7919727509352</v>
      </c>
      <c r="D183" s="23">
        <f>IF(A183="","",IF(AND(J183="P&amp;I",A183&gt;=Calculator!C9),MIN(Calculator!C8,MAX(0,B183-C183+F183)),0))</f>
        <v>0</v>
      </c>
      <c r="E183" s="23">
        <f t="shared" si="10"/>
        <v>7067.7919727509352</v>
      </c>
      <c r="F183" s="23">
        <f>IF(A183="","",IF(Calculator!C12="Beginning of Period",MAX(0,(B183-IF(J183="IO",Calculator!C22,Calculator!C21))*Calculator!C17),B183*Calculator!C17))</f>
        <v>3730.2506156391787</v>
      </c>
      <c r="G183" s="23">
        <f t="shared" si="11"/>
        <v>3337.5413571117565</v>
      </c>
      <c r="H183" s="23">
        <f t="shared" si="12"/>
        <v>636133.99275245913</v>
      </c>
      <c r="I183" s="23">
        <f t="shared" si="14"/>
        <v>851794.21206562035</v>
      </c>
      <c r="J183" s="24" t="str">
        <f>IF(A183="","",IF(A183&lt;=Calculator!C19,"IO","P&amp;I"))</f>
        <v>P&amp;I</v>
      </c>
    </row>
    <row r="184" spans="1:10" ht="15.75" customHeight="1" x14ac:dyDescent="0.25">
      <c r="A184" s="19">
        <f>IF(173&lt;=Calculator!C18,173,"")</f>
        <v>173</v>
      </c>
      <c r="B184" s="20">
        <f t="shared" si="13"/>
        <v>636133.99275245913</v>
      </c>
      <c r="C184" s="20">
        <f>IF(A184="","",IF(J184="IO",Calculator!C22,IF(B184&gt;0,MIN(Calculator!C21,B184*(1+Calculator!C17)),0)))</f>
        <v>7067.7919727509352</v>
      </c>
      <c r="D184" s="20">
        <f>IF(A184="","",IF(AND(J184="P&amp;I",A184&gt;=Calculator!C9),MIN(Calculator!C8,MAX(0,B184-C184+F184)),0))</f>
        <v>0</v>
      </c>
      <c r="E184" s="20">
        <f t="shared" si="10"/>
        <v>7067.7919727509352</v>
      </c>
      <c r="F184" s="20">
        <f>IF(A184="","",IF(Calculator!C12="Beginning of Period",MAX(0,(B184-IF(J184="IO",Calculator!C22,Calculator!C21))*Calculator!C17),B184*Calculator!C17))</f>
        <v>3710.7816243893599</v>
      </c>
      <c r="G184" s="20">
        <f t="shared" si="11"/>
        <v>3357.0103483615753</v>
      </c>
      <c r="H184" s="20">
        <f t="shared" si="12"/>
        <v>632776.98240409757</v>
      </c>
      <c r="I184" s="20">
        <f t="shared" si="14"/>
        <v>855504.99369000969</v>
      </c>
      <c r="J184" s="21" t="str">
        <f>IF(A184="","",IF(A184&lt;=Calculator!C19,"IO","P&amp;I"))</f>
        <v>P&amp;I</v>
      </c>
    </row>
    <row r="185" spans="1:10" ht="15.75" customHeight="1" x14ac:dyDescent="0.25">
      <c r="A185" s="22">
        <f>IF(174&lt;=Calculator!C18,174,"")</f>
        <v>174</v>
      </c>
      <c r="B185" s="23">
        <f t="shared" si="13"/>
        <v>632776.98240409757</v>
      </c>
      <c r="C185" s="23">
        <f>IF(A185="","",IF(J185="IO",Calculator!C22,IF(B185&gt;0,MIN(Calculator!C21,B185*(1+Calculator!C17)),0)))</f>
        <v>7067.7919727509352</v>
      </c>
      <c r="D185" s="23">
        <f>IF(A185="","",IF(AND(J185="P&amp;I",A185&gt;=Calculator!C9),MIN(Calculator!C8,MAX(0,B185-C185+F185)),0))</f>
        <v>0</v>
      </c>
      <c r="E185" s="23">
        <f t="shared" si="10"/>
        <v>7067.7919727509352</v>
      </c>
      <c r="F185" s="23">
        <f>IF(A185="","",IF(Calculator!C12="Beginning of Period",MAX(0,(B185-IF(J185="IO",Calculator!C22,Calculator!C21))*Calculator!C17),B185*Calculator!C17))</f>
        <v>3691.1990640239173</v>
      </c>
      <c r="G185" s="23">
        <f t="shared" si="11"/>
        <v>3376.5929087270179</v>
      </c>
      <c r="H185" s="23">
        <f t="shared" si="12"/>
        <v>629400.38949537056</v>
      </c>
      <c r="I185" s="23">
        <f t="shared" si="14"/>
        <v>859196.1927540336</v>
      </c>
      <c r="J185" s="24" t="str">
        <f>IF(A185="","",IF(A185&lt;=Calculator!C19,"IO","P&amp;I"))</f>
        <v>P&amp;I</v>
      </c>
    </row>
    <row r="186" spans="1:10" ht="15.75" customHeight="1" x14ac:dyDescent="0.25">
      <c r="A186" s="19">
        <f>IF(175&lt;=Calculator!C18,175,"")</f>
        <v>175</v>
      </c>
      <c r="B186" s="20">
        <f t="shared" si="13"/>
        <v>629400.38949537056</v>
      </c>
      <c r="C186" s="20">
        <f>IF(A186="","",IF(J186="IO",Calculator!C22,IF(B186&gt;0,MIN(Calculator!C21,B186*(1+Calculator!C17)),0)))</f>
        <v>7067.7919727509352</v>
      </c>
      <c r="D186" s="20">
        <f>IF(A186="","",IF(AND(J186="P&amp;I",A186&gt;=Calculator!C9),MIN(Calculator!C8,MAX(0,B186-C186+F186)),0))</f>
        <v>0</v>
      </c>
      <c r="E186" s="20">
        <f t="shared" si="10"/>
        <v>7067.7919727509352</v>
      </c>
      <c r="F186" s="20">
        <f>IF(A186="","",IF(Calculator!C12="Beginning of Period",MAX(0,(B186-IF(J186="IO",Calculator!C22,Calculator!C21))*Calculator!C17),B186*Calculator!C17))</f>
        <v>3671.5022720563434</v>
      </c>
      <c r="G186" s="20">
        <f t="shared" si="11"/>
        <v>3396.2897006945918</v>
      </c>
      <c r="H186" s="20">
        <f t="shared" si="12"/>
        <v>626004.09979467595</v>
      </c>
      <c r="I186" s="20">
        <f t="shared" si="14"/>
        <v>862867.6950260899</v>
      </c>
      <c r="J186" s="21" t="str">
        <f>IF(A186="","",IF(A186&lt;=Calculator!C19,"IO","P&amp;I"))</f>
        <v>P&amp;I</v>
      </c>
    </row>
    <row r="187" spans="1:10" ht="15.75" customHeight="1" x14ac:dyDescent="0.25">
      <c r="A187" s="22">
        <f>IF(176&lt;=Calculator!C18,176,"")</f>
        <v>176</v>
      </c>
      <c r="B187" s="23">
        <f t="shared" si="13"/>
        <v>626004.09979467595</v>
      </c>
      <c r="C187" s="23">
        <f>IF(A187="","",IF(J187="IO",Calculator!C22,IF(B187&gt;0,MIN(Calculator!C21,B187*(1+Calculator!C17)),0)))</f>
        <v>7067.7919727509352</v>
      </c>
      <c r="D187" s="23">
        <f>IF(A187="","",IF(AND(J187="P&amp;I",A187&gt;=Calculator!C9),MIN(Calculator!C8,MAX(0,B187-C187+F187)),0))</f>
        <v>0</v>
      </c>
      <c r="E187" s="23">
        <f t="shared" si="10"/>
        <v>7067.7919727509352</v>
      </c>
      <c r="F187" s="23">
        <f>IF(A187="","",IF(Calculator!C12="Beginning of Period",MAX(0,(B187-IF(J187="IO",Calculator!C22,Calculator!C21))*Calculator!C17),B187*Calculator!C17))</f>
        <v>3651.6905821356245</v>
      </c>
      <c r="G187" s="23">
        <f t="shared" si="11"/>
        <v>3416.1013906153107</v>
      </c>
      <c r="H187" s="23">
        <f t="shared" si="12"/>
        <v>622587.99840406061</v>
      </c>
      <c r="I187" s="23">
        <f t="shared" si="14"/>
        <v>866519.38560822548</v>
      </c>
      <c r="J187" s="24" t="str">
        <f>IF(A187="","",IF(A187&lt;=Calculator!C19,"IO","P&amp;I"))</f>
        <v>P&amp;I</v>
      </c>
    </row>
    <row r="188" spans="1:10" ht="15.75" customHeight="1" x14ac:dyDescent="0.25">
      <c r="A188" s="19">
        <f>IF(177&lt;=Calculator!C18,177,"")</f>
        <v>177</v>
      </c>
      <c r="B188" s="20">
        <f t="shared" si="13"/>
        <v>622587.99840406061</v>
      </c>
      <c r="C188" s="20">
        <f>IF(A188="","",IF(J188="IO",Calculator!C22,IF(B188&gt;0,MIN(Calculator!C21,B188*(1+Calculator!C17)),0)))</f>
        <v>7067.7919727509352</v>
      </c>
      <c r="D188" s="20">
        <f>IF(A188="","",IF(AND(J188="P&amp;I",A188&gt;=Calculator!C9),MIN(Calculator!C8,MAX(0,B188-C188+F188)),0))</f>
        <v>0</v>
      </c>
      <c r="E188" s="20">
        <f t="shared" si="10"/>
        <v>7067.7919727509352</v>
      </c>
      <c r="F188" s="20">
        <f>IF(A188="","",IF(Calculator!C12="Beginning of Period",MAX(0,(B188-IF(J188="IO",Calculator!C22,Calculator!C21))*Calculator!C17),B188*Calculator!C17))</f>
        <v>3631.7633240237014</v>
      </c>
      <c r="G188" s="20">
        <f t="shared" si="11"/>
        <v>3436.0286487272338</v>
      </c>
      <c r="H188" s="20">
        <f t="shared" si="12"/>
        <v>619151.96975533338</v>
      </c>
      <c r="I188" s="20">
        <f t="shared" si="14"/>
        <v>870151.14893224917</v>
      </c>
      <c r="J188" s="21" t="str">
        <f>IF(A188="","",IF(A188&lt;=Calculator!C19,"IO","P&amp;I"))</f>
        <v>P&amp;I</v>
      </c>
    </row>
    <row r="189" spans="1:10" ht="15.75" customHeight="1" x14ac:dyDescent="0.25">
      <c r="A189" s="22">
        <f>IF(178&lt;=Calculator!C18,178,"")</f>
        <v>178</v>
      </c>
      <c r="B189" s="23">
        <f t="shared" si="13"/>
        <v>619151.96975533338</v>
      </c>
      <c r="C189" s="23">
        <f>IF(A189="","",IF(J189="IO",Calculator!C22,IF(B189&gt;0,MIN(Calculator!C21,B189*(1+Calculator!C17)),0)))</f>
        <v>7067.7919727509352</v>
      </c>
      <c r="D189" s="23">
        <f>IF(A189="","",IF(AND(J189="P&amp;I",A189&gt;=Calculator!C9),MIN(Calculator!C8,MAX(0,B189-C189+F189)),0))</f>
        <v>0</v>
      </c>
      <c r="E189" s="23">
        <f t="shared" si="10"/>
        <v>7067.7919727509352</v>
      </c>
      <c r="F189" s="23">
        <f>IF(A189="","",IF(Calculator!C12="Beginning of Period",MAX(0,(B189-IF(J189="IO",Calculator!C22,Calculator!C21))*Calculator!C17),B189*Calculator!C17))</f>
        <v>3611.7198235727928</v>
      </c>
      <c r="G189" s="23">
        <f t="shared" si="11"/>
        <v>3456.0721491781424</v>
      </c>
      <c r="H189" s="23">
        <f t="shared" si="12"/>
        <v>615695.89760615525</v>
      </c>
      <c r="I189" s="23">
        <f t="shared" si="14"/>
        <v>873762.86875582195</v>
      </c>
      <c r="J189" s="24" t="str">
        <f>IF(A189="","",IF(A189&lt;=Calculator!C19,"IO","P&amp;I"))</f>
        <v>P&amp;I</v>
      </c>
    </row>
    <row r="190" spans="1:10" ht="15.75" customHeight="1" x14ac:dyDescent="0.25">
      <c r="A190" s="19">
        <f>IF(179&lt;=Calculator!C18,179,"")</f>
        <v>179</v>
      </c>
      <c r="B190" s="20">
        <f t="shared" si="13"/>
        <v>615695.89760615525</v>
      </c>
      <c r="C190" s="20">
        <f>IF(A190="","",IF(J190="IO",Calculator!C22,IF(B190&gt;0,MIN(Calculator!C21,B190*(1+Calculator!C17)),0)))</f>
        <v>7067.7919727509352</v>
      </c>
      <c r="D190" s="20">
        <f>IF(A190="","",IF(AND(J190="P&amp;I",A190&gt;=Calculator!C9),MIN(Calculator!C8,MAX(0,B190-C190+F190)),0))</f>
        <v>0</v>
      </c>
      <c r="E190" s="20">
        <f t="shared" si="10"/>
        <v>7067.7919727509352</v>
      </c>
      <c r="F190" s="20">
        <f>IF(A190="","",IF(Calculator!C12="Beginning of Period",MAX(0,(B190-IF(J190="IO",Calculator!C22,Calculator!C21))*Calculator!C17),B190*Calculator!C17))</f>
        <v>3591.5594027025868</v>
      </c>
      <c r="G190" s="20">
        <f t="shared" si="11"/>
        <v>3476.2325700483484</v>
      </c>
      <c r="H190" s="20">
        <f t="shared" si="12"/>
        <v>612219.66503610695</v>
      </c>
      <c r="I190" s="20">
        <f t="shared" si="14"/>
        <v>877354.42815852456</v>
      </c>
      <c r="J190" s="21" t="str">
        <f>IF(A190="","",IF(A190&lt;=Calculator!C19,"IO","P&amp;I"))</f>
        <v>P&amp;I</v>
      </c>
    </row>
    <row r="191" spans="1:10" ht="15.75" customHeight="1" x14ac:dyDescent="0.25">
      <c r="A191" s="22">
        <f>IF(180&lt;=Calculator!C18,180,"")</f>
        <v>180</v>
      </c>
      <c r="B191" s="23">
        <f t="shared" si="13"/>
        <v>612219.66503610695</v>
      </c>
      <c r="C191" s="23">
        <f>IF(A191="","",IF(J191="IO",Calculator!C22,IF(B191&gt;0,MIN(Calculator!C21,B191*(1+Calculator!C17)),0)))</f>
        <v>7067.7919727509352</v>
      </c>
      <c r="D191" s="23">
        <f>IF(A191="","",IF(AND(J191="P&amp;I",A191&gt;=Calculator!C9),MIN(Calculator!C8,MAX(0,B191-C191+F191)),0))</f>
        <v>0</v>
      </c>
      <c r="E191" s="23">
        <f t="shared" si="10"/>
        <v>7067.7919727509352</v>
      </c>
      <c r="F191" s="23">
        <f>IF(A191="","",IF(Calculator!C12="Beginning of Period",MAX(0,(B191-IF(J191="IO",Calculator!C22,Calculator!C21))*Calculator!C17),B191*Calculator!C17))</f>
        <v>3571.2813793773048</v>
      </c>
      <c r="G191" s="23">
        <f t="shared" si="11"/>
        <v>3496.5105933736304</v>
      </c>
      <c r="H191" s="23">
        <f t="shared" si="12"/>
        <v>608723.15444273327</v>
      </c>
      <c r="I191" s="23">
        <f t="shared" si="14"/>
        <v>880925.70953790192</v>
      </c>
      <c r="J191" s="24" t="str">
        <f>IF(A191="","",IF(A191&lt;=Calculator!C19,"IO","P&amp;I"))</f>
        <v>P&amp;I</v>
      </c>
    </row>
    <row r="192" spans="1:10" ht="15.75" customHeight="1" x14ac:dyDescent="0.25">
      <c r="A192" s="19">
        <f>IF(181&lt;=Calculator!C18,181,"")</f>
        <v>181</v>
      </c>
      <c r="B192" s="20">
        <f t="shared" si="13"/>
        <v>608723.15444273327</v>
      </c>
      <c r="C192" s="20">
        <f>IF(A192="","",IF(J192="IO",Calculator!C22,IF(B192&gt;0,MIN(Calculator!C21,B192*(1+Calculator!C17)),0)))</f>
        <v>7067.7919727509352</v>
      </c>
      <c r="D192" s="20">
        <f>IF(A192="","",IF(AND(J192="P&amp;I",A192&gt;=Calculator!C9),MIN(Calculator!C8,MAX(0,B192-C192+F192)),0))</f>
        <v>0</v>
      </c>
      <c r="E192" s="20">
        <f t="shared" si="10"/>
        <v>7067.7919727509352</v>
      </c>
      <c r="F192" s="20">
        <f>IF(A192="","",IF(Calculator!C12="Beginning of Period",MAX(0,(B192-IF(J192="IO",Calculator!C22,Calculator!C21))*Calculator!C17),B192*Calculator!C17))</f>
        <v>3550.8850675826252</v>
      </c>
      <c r="G192" s="20">
        <f t="shared" si="11"/>
        <v>3516.90690516831</v>
      </c>
      <c r="H192" s="20">
        <f t="shared" si="12"/>
        <v>605206.24753756495</v>
      </c>
      <c r="I192" s="20">
        <f t="shared" si="14"/>
        <v>884476.59460548451</v>
      </c>
      <c r="J192" s="21" t="str">
        <f>IF(A192="","",IF(A192&lt;=Calculator!C19,"IO","P&amp;I"))</f>
        <v>P&amp;I</v>
      </c>
    </row>
    <row r="193" spans="1:10" ht="15.75" customHeight="1" x14ac:dyDescent="0.25">
      <c r="A193" s="22">
        <f>IF(182&lt;=Calculator!C18,182,"")</f>
        <v>182</v>
      </c>
      <c r="B193" s="23">
        <f t="shared" si="13"/>
        <v>605206.24753756495</v>
      </c>
      <c r="C193" s="23">
        <f>IF(A193="","",IF(J193="IO",Calculator!C22,IF(B193&gt;0,MIN(Calculator!C21,B193*(1+Calculator!C17)),0)))</f>
        <v>7067.7919727509352</v>
      </c>
      <c r="D193" s="23">
        <f>IF(A193="","",IF(AND(J193="P&amp;I",A193&gt;=Calculator!C9),MIN(Calculator!C8,MAX(0,B193-C193+F193)),0))</f>
        <v>0</v>
      </c>
      <c r="E193" s="23">
        <f t="shared" si="10"/>
        <v>7067.7919727509352</v>
      </c>
      <c r="F193" s="23">
        <f>IF(A193="","",IF(Calculator!C12="Beginning of Period",MAX(0,(B193-IF(J193="IO",Calculator!C22,Calculator!C21))*Calculator!C17),B193*Calculator!C17))</f>
        <v>3530.3697773024765</v>
      </c>
      <c r="G193" s="23">
        <f t="shared" si="11"/>
        <v>3537.4221954484588</v>
      </c>
      <c r="H193" s="23">
        <f t="shared" si="12"/>
        <v>601668.82534211653</v>
      </c>
      <c r="I193" s="23">
        <f t="shared" si="14"/>
        <v>888006.964382787</v>
      </c>
      <c r="J193" s="24" t="str">
        <f>IF(A193="","",IF(A193&lt;=Calculator!C19,"IO","P&amp;I"))</f>
        <v>P&amp;I</v>
      </c>
    </row>
    <row r="194" spans="1:10" ht="15.75" customHeight="1" x14ac:dyDescent="0.25">
      <c r="A194" s="19">
        <f>IF(183&lt;=Calculator!C18,183,"")</f>
        <v>183</v>
      </c>
      <c r="B194" s="20">
        <f t="shared" si="13"/>
        <v>601668.82534211653</v>
      </c>
      <c r="C194" s="20">
        <f>IF(A194="","",IF(J194="IO",Calculator!C22,IF(B194&gt;0,MIN(Calculator!C21,B194*(1+Calculator!C17)),0)))</f>
        <v>7067.7919727509352</v>
      </c>
      <c r="D194" s="20">
        <f>IF(A194="","",IF(AND(J194="P&amp;I",A194&gt;=Calculator!C9),MIN(Calculator!C8,MAX(0,B194-C194+F194)),0))</f>
        <v>0</v>
      </c>
      <c r="E194" s="20">
        <f t="shared" si="10"/>
        <v>7067.7919727509352</v>
      </c>
      <c r="F194" s="20">
        <f>IF(A194="","",IF(Calculator!C12="Beginning of Period",MAX(0,(B194-IF(J194="IO",Calculator!C22,Calculator!C21))*Calculator!C17),B194*Calculator!C17))</f>
        <v>3509.7348144956941</v>
      </c>
      <c r="G194" s="20">
        <f t="shared" si="11"/>
        <v>3558.0571582552411</v>
      </c>
      <c r="H194" s="20">
        <f t="shared" si="12"/>
        <v>598110.76818386128</v>
      </c>
      <c r="I194" s="20">
        <f t="shared" si="14"/>
        <v>891516.69919728267</v>
      </c>
      <c r="J194" s="21" t="str">
        <f>IF(A194="","",IF(A194&lt;=Calculator!C19,"IO","P&amp;I"))</f>
        <v>P&amp;I</v>
      </c>
    </row>
    <row r="195" spans="1:10" ht="15.75" customHeight="1" x14ac:dyDescent="0.25">
      <c r="A195" s="22">
        <f>IF(184&lt;=Calculator!C18,184,"")</f>
        <v>184</v>
      </c>
      <c r="B195" s="23">
        <f t="shared" si="13"/>
        <v>598110.76818386128</v>
      </c>
      <c r="C195" s="23">
        <f>IF(A195="","",IF(J195="IO",Calculator!C22,IF(B195&gt;0,MIN(Calculator!C21,B195*(1+Calculator!C17)),0)))</f>
        <v>7067.7919727509352</v>
      </c>
      <c r="D195" s="23">
        <f>IF(A195="","",IF(AND(J195="P&amp;I",A195&gt;=Calculator!C9),MIN(Calculator!C8,MAX(0,B195-C195+F195)),0))</f>
        <v>0</v>
      </c>
      <c r="E195" s="23">
        <f t="shared" si="10"/>
        <v>7067.7919727509352</v>
      </c>
      <c r="F195" s="23">
        <f>IF(A195="","",IF(Calculator!C12="Beginning of Period",MAX(0,(B195-IF(J195="IO",Calculator!C22,Calculator!C21))*Calculator!C17),B195*Calculator!C17))</f>
        <v>3488.9794810725384</v>
      </c>
      <c r="G195" s="23">
        <f t="shared" si="11"/>
        <v>3578.8124916783968</v>
      </c>
      <c r="H195" s="23">
        <f t="shared" si="12"/>
        <v>594531.95569218288</v>
      </c>
      <c r="I195" s="23">
        <f t="shared" si="14"/>
        <v>895005.67867835518</v>
      </c>
      <c r="J195" s="24" t="str">
        <f>IF(A195="","",IF(A195&lt;=Calculator!C19,"IO","P&amp;I"))</f>
        <v>P&amp;I</v>
      </c>
    </row>
    <row r="196" spans="1:10" ht="15.75" customHeight="1" x14ac:dyDescent="0.25">
      <c r="A196" s="19">
        <f>IF(185&lt;=Calculator!C18,185,"")</f>
        <v>185</v>
      </c>
      <c r="B196" s="20">
        <f t="shared" si="13"/>
        <v>594531.95569218288</v>
      </c>
      <c r="C196" s="20">
        <f>IF(A196="","",IF(J196="IO",Calculator!C22,IF(B196&gt;0,MIN(Calculator!C21,B196*(1+Calculator!C17)),0)))</f>
        <v>7067.7919727509352</v>
      </c>
      <c r="D196" s="20">
        <f>IF(A196="","",IF(AND(J196="P&amp;I",A196&gt;=Calculator!C9),MIN(Calculator!C8,MAX(0,B196-C196+F196)),0))</f>
        <v>0</v>
      </c>
      <c r="E196" s="20">
        <f t="shared" si="10"/>
        <v>7067.7919727509352</v>
      </c>
      <c r="F196" s="20">
        <f>IF(A196="","",IF(Calculator!C12="Beginning of Period",MAX(0,(B196-IF(J196="IO",Calculator!C22,Calculator!C21))*Calculator!C17),B196*Calculator!C17))</f>
        <v>3468.1030748710809</v>
      </c>
      <c r="G196" s="20">
        <f t="shared" si="11"/>
        <v>3599.6888978798543</v>
      </c>
      <c r="H196" s="20">
        <f t="shared" si="12"/>
        <v>590932.26679430297</v>
      </c>
      <c r="I196" s="20">
        <f t="shared" si="14"/>
        <v>898473.7817532263</v>
      </c>
      <c r="J196" s="21" t="str">
        <f>IF(A196="","",IF(A196&lt;=Calculator!C19,"IO","P&amp;I"))</f>
        <v>P&amp;I</v>
      </c>
    </row>
    <row r="197" spans="1:10" ht="15.75" customHeight="1" x14ac:dyDescent="0.25">
      <c r="A197" s="22">
        <f>IF(186&lt;=Calculator!C18,186,"")</f>
        <v>186</v>
      </c>
      <c r="B197" s="23">
        <f t="shared" si="13"/>
        <v>590932.26679430297</v>
      </c>
      <c r="C197" s="23">
        <f>IF(A197="","",IF(J197="IO",Calculator!C22,IF(B197&gt;0,MIN(Calculator!C21,B197*(1+Calculator!C17)),0)))</f>
        <v>7067.7919727509352</v>
      </c>
      <c r="D197" s="23">
        <f>IF(A197="","",IF(AND(J197="P&amp;I",A197&gt;=Calculator!C9),MIN(Calculator!C8,MAX(0,B197-C197+F197)),0))</f>
        <v>0</v>
      </c>
      <c r="E197" s="23">
        <f t="shared" si="10"/>
        <v>7067.7919727509352</v>
      </c>
      <c r="F197" s="23">
        <f>IF(A197="","",IF(Calculator!C12="Beginning of Period",MAX(0,(B197-IF(J197="IO",Calculator!C22,Calculator!C21))*Calculator!C17),B197*Calculator!C17))</f>
        <v>3447.1048896334478</v>
      </c>
      <c r="G197" s="23">
        <f t="shared" si="11"/>
        <v>3620.6870831174874</v>
      </c>
      <c r="H197" s="23">
        <f t="shared" si="12"/>
        <v>587311.57971118554</v>
      </c>
      <c r="I197" s="23">
        <f t="shared" si="14"/>
        <v>901920.88664285978</v>
      </c>
      <c r="J197" s="24" t="str">
        <f>IF(A197="","",IF(A197&lt;=Calculator!C19,"IO","P&amp;I"))</f>
        <v>P&amp;I</v>
      </c>
    </row>
    <row r="198" spans="1:10" ht="15.75" customHeight="1" x14ac:dyDescent="0.25">
      <c r="A198" s="19">
        <f>IF(187&lt;=Calculator!C18,187,"")</f>
        <v>187</v>
      </c>
      <c r="B198" s="20">
        <f t="shared" si="13"/>
        <v>587311.57971118554</v>
      </c>
      <c r="C198" s="20">
        <f>IF(A198="","",IF(J198="IO",Calculator!C22,IF(B198&gt;0,MIN(Calculator!C21,B198*(1+Calculator!C17)),0)))</f>
        <v>7067.7919727509352</v>
      </c>
      <c r="D198" s="20">
        <f>IF(A198="","",IF(AND(J198="P&amp;I",A198&gt;=Calculator!C9),MIN(Calculator!C8,MAX(0,B198-C198+F198)),0))</f>
        <v>0</v>
      </c>
      <c r="E198" s="20">
        <f t="shared" si="10"/>
        <v>7067.7919727509352</v>
      </c>
      <c r="F198" s="20">
        <f>IF(A198="","",IF(Calculator!C12="Beginning of Period",MAX(0,(B198-IF(J198="IO",Calculator!C22,Calculator!C21))*Calculator!C17),B198*Calculator!C17))</f>
        <v>3425.9842149819297</v>
      </c>
      <c r="G198" s="20">
        <f t="shared" si="11"/>
        <v>3641.8077577690055</v>
      </c>
      <c r="H198" s="20">
        <f t="shared" si="12"/>
        <v>583669.77195341652</v>
      </c>
      <c r="I198" s="20">
        <f t="shared" si="14"/>
        <v>905346.87085784168</v>
      </c>
      <c r="J198" s="21" t="str">
        <f>IF(A198="","",IF(A198&lt;=Calculator!C19,"IO","P&amp;I"))</f>
        <v>P&amp;I</v>
      </c>
    </row>
    <row r="199" spans="1:10" ht="15.75" customHeight="1" x14ac:dyDescent="0.25">
      <c r="A199" s="22">
        <f>IF(188&lt;=Calculator!C18,188,"")</f>
        <v>188</v>
      </c>
      <c r="B199" s="23">
        <f t="shared" si="13"/>
        <v>583669.77195341652</v>
      </c>
      <c r="C199" s="23">
        <f>IF(A199="","",IF(J199="IO",Calculator!C22,IF(B199&gt;0,MIN(Calculator!C21,B199*(1+Calculator!C17)),0)))</f>
        <v>7067.7919727509352</v>
      </c>
      <c r="D199" s="23">
        <f>IF(A199="","",IF(AND(J199="P&amp;I",A199&gt;=Calculator!C9),MIN(Calculator!C8,MAX(0,B199-C199+F199)),0))</f>
        <v>0</v>
      </c>
      <c r="E199" s="23">
        <f t="shared" si="10"/>
        <v>7067.7919727509352</v>
      </c>
      <c r="F199" s="23">
        <f>IF(A199="","",IF(Calculator!C12="Beginning of Period",MAX(0,(B199-IF(J199="IO",Calculator!C22,Calculator!C21))*Calculator!C17),B199*Calculator!C17))</f>
        <v>3404.7403363949434</v>
      </c>
      <c r="G199" s="23">
        <f t="shared" si="11"/>
        <v>3663.0516363559918</v>
      </c>
      <c r="H199" s="23">
        <f t="shared" si="12"/>
        <v>580006.72031706048</v>
      </c>
      <c r="I199" s="23">
        <f t="shared" si="14"/>
        <v>908751.61119423667</v>
      </c>
      <c r="J199" s="24" t="str">
        <f>IF(A199="","",IF(A199&lt;=Calculator!C19,"IO","P&amp;I"))</f>
        <v>P&amp;I</v>
      </c>
    </row>
    <row r="200" spans="1:10" ht="15.75" customHeight="1" x14ac:dyDescent="0.25">
      <c r="A200" s="19">
        <f>IF(189&lt;=Calculator!C18,189,"")</f>
        <v>189</v>
      </c>
      <c r="B200" s="20">
        <f t="shared" si="13"/>
        <v>580006.72031706048</v>
      </c>
      <c r="C200" s="20">
        <f>IF(A200="","",IF(J200="IO",Calculator!C22,IF(B200&gt;0,MIN(Calculator!C21,B200*(1+Calculator!C17)),0)))</f>
        <v>7067.7919727509352</v>
      </c>
      <c r="D200" s="20">
        <f>IF(A200="","",IF(AND(J200="P&amp;I",A200&gt;=Calculator!C9),MIN(Calculator!C8,MAX(0,B200-C200+F200)),0))</f>
        <v>0</v>
      </c>
      <c r="E200" s="20">
        <f t="shared" si="10"/>
        <v>7067.7919727509352</v>
      </c>
      <c r="F200" s="20">
        <f>IF(A200="","",IF(Calculator!C12="Beginning of Period",MAX(0,(B200-IF(J200="IO",Calculator!C22,Calculator!C21))*Calculator!C17),B200*Calculator!C17))</f>
        <v>3383.3725351828666</v>
      </c>
      <c r="G200" s="20">
        <f t="shared" si="11"/>
        <v>3684.4194375680686</v>
      </c>
      <c r="H200" s="20">
        <f t="shared" si="12"/>
        <v>576322.30087949242</v>
      </c>
      <c r="I200" s="20">
        <f t="shared" si="14"/>
        <v>912134.98372941953</v>
      </c>
      <c r="J200" s="21" t="str">
        <f>IF(A200="","",IF(A200&lt;=Calculator!C19,"IO","P&amp;I"))</f>
        <v>P&amp;I</v>
      </c>
    </row>
    <row r="201" spans="1:10" ht="15.75" customHeight="1" x14ac:dyDescent="0.25">
      <c r="A201" s="22">
        <f>IF(190&lt;=Calculator!C18,190,"")</f>
        <v>190</v>
      </c>
      <c r="B201" s="23">
        <f t="shared" si="13"/>
        <v>576322.30087949242</v>
      </c>
      <c r="C201" s="23">
        <f>IF(A201="","",IF(J201="IO",Calculator!C22,IF(B201&gt;0,MIN(Calculator!C21,B201*(1+Calculator!C17)),0)))</f>
        <v>7067.7919727509352</v>
      </c>
      <c r="D201" s="23">
        <f>IF(A201="","",IF(AND(J201="P&amp;I",A201&gt;=Calculator!C9),MIN(Calculator!C8,MAX(0,B201-C201+F201)),0))</f>
        <v>0</v>
      </c>
      <c r="E201" s="23">
        <f t="shared" si="10"/>
        <v>7067.7919727509352</v>
      </c>
      <c r="F201" s="23">
        <f>IF(A201="","",IF(Calculator!C12="Beginning of Period",MAX(0,(B201-IF(J201="IO",Calculator!C22,Calculator!C21))*Calculator!C17),B201*Calculator!C17))</f>
        <v>3361.8800884637194</v>
      </c>
      <c r="G201" s="23">
        <f t="shared" si="11"/>
        <v>3705.9118842872158</v>
      </c>
      <c r="H201" s="23">
        <f t="shared" si="12"/>
        <v>572616.38899520517</v>
      </c>
      <c r="I201" s="23">
        <f t="shared" si="14"/>
        <v>915496.86381788331</v>
      </c>
      <c r="J201" s="24" t="str">
        <f>IF(A201="","",IF(A201&lt;=Calculator!C19,"IO","P&amp;I"))</f>
        <v>P&amp;I</v>
      </c>
    </row>
    <row r="202" spans="1:10" ht="15.75" customHeight="1" x14ac:dyDescent="0.25">
      <c r="A202" s="19">
        <f>IF(191&lt;=Calculator!C18,191,"")</f>
        <v>191</v>
      </c>
      <c r="B202" s="20">
        <f t="shared" si="13"/>
        <v>572616.38899520517</v>
      </c>
      <c r="C202" s="20">
        <f>IF(A202="","",IF(J202="IO",Calculator!C22,IF(B202&gt;0,MIN(Calculator!C21,B202*(1+Calculator!C17)),0)))</f>
        <v>7067.7919727509352</v>
      </c>
      <c r="D202" s="20">
        <f>IF(A202="","",IF(AND(J202="P&amp;I",A202&gt;=Calculator!C9),MIN(Calculator!C8,MAX(0,B202-C202+F202)),0))</f>
        <v>0</v>
      </c>
      <c r="E202" s="20">
        <f t="shared" si="10"/>
        <v>7067.7919727509352</v>
      </c>
      <c r="F202" s="20">
        <f>IF(A202="","",IF(Calculator!C12="Beginning of Period",MAX(0,(B202-IF(J202="IO",Calculator!C22,Calculator!C21))*Calculator!C17),B202*Calculator!C17))</f>
        <v>3340.2622691387105</v>
      </c>
      <c r="G202" s="20">
        <f t="shared" si="11"/>
        <v>3727.5297036122247</v>
      </c>
      <c r="H202" s="20">
        <f t="shared" si="12"/>
        <v>568888.85929159296</v>
      </c>
      <c r="I202" s="20">
        <f t="shared" si="14"/>
        <v>918837.12608702201</v>
      </c>
      <c r="J202" s="21" t="str">
        <f>IF(A202="","",IF(A202&lt;=Calculator!C19,"IO","P&amp;I"))</f>
        <v>P&amp;I</v>
      </c>
    </row>
    <row r="203" spans="1:10" ht="15.75" customHeight="1" x14ac:dyDescent="0.25">
      <c r="A203" s="22">
        <f>IF(192&lt;=Calculator!C18,192,"")</f>
        <v>192</v>
      </c>
      <c r="B203" s="23">
        <f t="shared" si="13"/>
        <v>568888.85929159296</v>
      </c>
      <c r="C203" s="23">
        <f>IF(A203="","",IF(J203="IO",Calculator!C22,IF(B203&gt;0,MIN(Calculator!C21,B203*(1+Calculator!C17)),0)))</f>
        <v>7067.7919727509352</v>
      </c>
      <c r="D203" s="23">
        <f>IF(A203="","",IF(AND(J203="P&amp;I",A203&gt;=Calculator!C9),MIN(Calculator!C8,MAX(0,B203-C203+F203)),0))</f>
        <v>0</v>
      </c>
      <c r="E203" s="23">
        <f t="shared" si="10"/>
        <v>7067.7919727509352</v>
      </c>
      <c r="F203" s="23">
        <f>IF(A203="","",IF(Calculator!C12="Beginning of Period",MAX(0,(B203-IF(J203="IO",Calculator!C22,Calculator!C21))*Calculator!C17),B203*Calculator!C17))</f>
        <v>3318.5183458676393</v>
      </c>
      <c r="G203" s="23">
        <f t="shared" si="11"/>
        <v>3749.2736268832959</v>
      </c>
      <c r="H203" s="23">
        <f t="shared" si="12"/>
        <v>565139.58566470968</v>
      </c>
      <c r="I203" s="23">
        <f t="shared" si="14"/>
        <v>922155.64443288965</v>
      </c>
      <c r="J203" s="24" t="str">
        <f>IF(A203="","",IF(A203&lt;=Calculator!C19,"IO","P&amp;I"))</f>
        <v>P&amp;I</v>
      </c>
    </row>
    <row r="204" spans="1:10" ht="15.75" customHeight="1" x14ac:dyDescent="0.25">
      <c r="A204" s="19">
        <f>IF(193&lt;=Calculator!C18,193,"")</f>
        <v>193</v>
      </c>
      <c r="B204" s="20">
        <f t="shared" si="13"/>
        <v>565139.58566470968</v>
      </c>
      <c r="C204" s="20">
        <f>IF(A204="","",IF(J204="IO",Calculator!C22,IF(B204&gt;0,MIN(Calculator!C21,B204*(1+Calculator!C17)),0)))</f>
        <v>7067.7919727509352</v>
      </c>
      <c r="D204" s="20">
        <f>IF(A204="","",IF(AND(J204="P&amp;I",A204&gt;=Calculator!C9),MIN(Calculator!C8,MAX(0,B204-C204+F204)),0))</f>
        <v>0</v>
      </c>
      <c r="E204" s="20">
        <f t="shared" ref="E204:E267" si="15">IF(A204="","",C204+D204)</f>
        <v>7067.7919727509352</v>
      </c>
      <c r="F204" s="20">
        <f>IF(A204="","",IF(Calculator!C12="Beginning of Period",MAX(0,(B204-IF(J204="IO",Calculator!C22,Calculator!C21))*Calculator!C17),B204*Calculator!C17))</f>
        <v>3296.6475830441532</v>
      </c>
      <c r="G204" s="20">
        <f t="shared" ref="G204:G267" si="16">IF(A204="","",IF(J204="IO",0,MAX(0,C204-F204)))</f>
        <v>3771.144389706782</v>
      </c>
      <c r="H204" s="20">
        <f t="shared" ref="H204:H267" si="17">IF(A204="","",MAX(0,B204-G204-D204))</f>
        <v>561368.4412750029</v>
      </c>
      <c r="I204" s="20">
        <f t="shared" si="14"/>
        <v>925452.29201593378</v>
      </c>
      <c r="J204" s="21" t="str">
        <f>IF(A204="","",IF(A204&lt;=Calculator!C19,"IO","P&amp;I"))</f>
        <v>P&amp;I</v>
      </c>
    </row>
    <row r="205" spans="1:10" ht="15.75" customHeight="1" x14ac:dyDescent="0.25">
      <c r="A205" s="22">
        <f>IF(194&lt;=Calculator!C18,194,"")</f>
        <v>194</v>
      </c>
      <c r="B205" s="23">
        <f t="shared" ref="B205:B268" si="18">IF(A205="","",H204)</f>
        <v>561368.4412750029</v>
      </c>
      <c r="C205" s="23">
        <f>IF(A205="","",IF(J205="IO",Calculator!C22,IF(B205&gt;0,MIN(Calculator!C21,B205*(1+Calculator!C17)),0)))</f>
        <v>7067.7919727509352</v>
      </c>
      <c r="D205" s="23">
        <f>IF(A205="","",IF(AND(J205="P&amp;I",A205&gt;=Calculator!C9),MIN(Calculator!C8,MAX(0,B205-C205+F205)),0))</f>
        <v>0</v>
      </c>
      <c r="E205" s="23">
        <f t="shared" si="15"/>
        <v>7067.7919727509352</v>
      </c>
      <c r="F205" s="23">
        <f>IF(A205="","",IF(Calculator!C12="Beginning of Period",MAX(0,(B205-IF(J205="IO",Calculator!C22,Calculator!C21))*Calculator!C17),B205*Calculator!C17))</f>
        <v>3274.6492407708633</v>
      </c>
      <c r="G205" s="23">
        <f t="shared" si="16"/>
        <v>3793.1427319800719</v>
      </c>
      <c r="H205" s="23">
        <f t="shared" si="17"/>
        <v>557575.29854302283</v>
      </c>
      <c r="I205" s="23">
        <f t="shared" ref="I205:I268" si="19">IF(A205="","",I204+F205)</f>
        <v>928726.94125670462</v>
      </c>
      <c r="J205" s="24" t="str">
        <f>IF(A205="","",IF(A205&lt;=Calculator!C19,"IO","P&amp;I"))</f>
        <v>P&amp;I</v>
      </c>
    </row>
    <row r="206" spans="1:10" ht="15.75" customHeight="1" x14ac:dyDescent="0.25">
      <c r="A206" s="19">
        <f>IF(195&lt;=Calculator!C18,195,"")</f>
        <v>195</v>
      </c>
      <c r="B206" s="20">
        <f t="shared" si="18"/>
        <v>557575.29854302283</v>
      </c>
      <c r="C206" s="20">
        <f>IF(A206="","",IF(J206="IO",Calculator!C22,IF(B206&gt;0,MIN(Calculator!C21,B206*(1+Calculator!C17)),0)))</f>
        <v>7067.7919727509352</v>
      </c>
      <c r="D206" s="20">
        <f>IF(A206="","",IF(AND(J206="P&amp;I",A206&gt;=Calculator!C9),MIN(Calculator!C8,MAX(0,B206-C206+F206)),0))</f>
        <v>0</v>
      </c>
      <c r="E206" s="20">
        <f t="shared" si="15"/>
        <v>7067.7919727509352</v>
      </c>
      <c r="F206" s="20">
        <f>IF(A206="","",IF(Calculator!C12="Beginning of Period",MAX(0,(B206-IF(J206="IO",Calculator!C22,Calculator!C21))*Calculator!C17),B206*Calculator!C17))</f>
        <v>3252.5225748343132</v>
      </c>
      <c r="G206" s="20">
        <f t="shared" si="16"/>
        <v>3815.269397916622</v>
      </c>
      <c r="H206" s="20">
        <f t="shared" si="17"/>
        <v>553760.02914510621</v>
      </c>
      <c r="I206" s="20">
        <f t="shared" si="19"/>
        <v>931979.46383153892</v>
      </c>
      <c r="J206" s="21" t="str">
        <f>IF(A206="","",IF(A206&lt;=Calculator!C19,"IO","P&amp;I"))</f>
        <v>P&amp;I</v>
      </c>
    </row>
    <row r="207" spans="1:10" ht="15.75" customHeight="1" x14ac:dyDescent="0.25">
      <c r="A207" s="22">
        <f>IF(196&lt;=Calculator!C18,196,"")</f>
        <v>196</v>
      </c>
      <c r="B207" s="23">
        <f t="shared" si="18"/>
        <v>553760.02914510621</v>
      </c>
      <c r="C207" s="23">
        <f>IF(A207="","",IF(J207="IO",Calculator!C22,IF(B207&gt;0,MIN(Calculator!C21,B207*(1+Calculator!C17)),0)))</f>
        <v>7067.7919727509352</v>
      </c>
      <c r="D207" s="23">
        <f>IF(A207="","",IF(AND(J207="P&amp;I",A207&gt;=Calculator!C9),MIN(Calculator!C8,MAX(0,B207-C207+F207)),0))</f>
        <v>0</v>
      </c>
      <c r="E207" s="23">
        <f t="shared" si="15"/>
        <v>7067.7919727509352</v>
      </c>
      <c r="F207" s="23">
        <f>IF(A207="","",IF(Calculator!C12="Beginning of Period",MAX(0,(B207-IF(J207="IO",Calculator!C22,Calculator!C21))*Calculator!C17),B207*Calculator!C17))</f>
        <v>3230.2668366797993</v>
      </c>
      <c r="G207" s="23">
        <f t="shared" si="16"/>
        <v>3837.5251360711359</v>
      </c>
      <c r="H207" s="23">
        <f t="shared" si="17"/>
        <v>549922.50400903507</v>
      </c>
      <c r="I207" s="23">
        <f t="shared" si="19"/>
        <v>935209.73066821869</v>
      </c>
      <c r="J207" s="24" t="str">
        <f>IF(A207="","",IF(A207&lt;=Calculator!C19,"IO","P&amp;I"))</f>
        <v>P&amp;I</v>
      </c>
    </row>
    <row r="208" spans="1:10" ht="15.75" customHeight="1" x14ac:dyDescent="0.25">
      <c r="A208" s="19">
        <f>IF(197&lt;=Calculator!C18,197,"")</f>
        <v>197</v>
      </c>
      <c r="B208" s="20">
        <f t="shared" si="18"/>
        <v>549922.50400903507</v>
      </c>
      <c r="C208" s="20">
        <f>IF(A208="","",IF(J208="IO",Calculator!C22,IF(B208&gt;0,MIN(Calculator!C21,B208*(1+Calculator!C17)),0)))</f>
        <v>7067.7919727509352</v>
      </c>
      <c r="D208" s="20">
        <f>IF(A208="","",IF(AND(J208="P&amp;I",A208&gt;=Calculator!C9),MIN(Calculator!C8,MAX(0,B208-C208+F208)),0))</f>
        <v>0</v>
      </c>
      <c r="E208" s="20">
        <f t="shared" si="15"/>
        <v>7067.7919727509352</v>
      </c>
      <c r="F208" s="20">
        <f>IF(A208="","",IF(Calculator!C12="Beginning of Period",MAX(0,(B208-IF(J208="IO",Calculator!C22,Calculator!C21))*Calculator!C17),B208*Calculator!C17))</f>
        <v>3207.8812733860509</v>
      </c>
      <c r="G208" s="20">
        <f t="shared" si="16"/>
        <v>3859.9106993648843</v>
      </c>
      <c r="H208" s="20">
        <f t="shared" si="17"/>
        <v>546062.59330967022</v>
      </c>
      <c r="I208" s="20">
        <f t="shared" si="19"/>
        <v>938417.61194160476</v>
      </c>
      <c r="J208" s="21" t="str">
        <f>IF(A208="","",IF(A208&lt;=Calculator!C19,"IO","P&amp;I"))</f>
        <v>P&amp;I</v>
      </c>
    </row>
    <row r="209" spans="1:10" ht="15.75" customHeight="1" x14ac:dyDescent="0.25">
      <c r="A209" s="22">
        <f>IF(198&lt;=Calculator!C18,198,"")</f>
        <v>198</v>
      </c>
      <c r="B209" s="23">
        <f t="shared" si="18"/>
        <v>546062.59330967022</v>
      </c>
      <c r="C209" s="23">
        <f>IF(A209="","",IF(J209="IO",Calculator!C22,IF(B209&gt;0,MIN(Calculator!C21,B209*(1+Calculator!C17)),0)))</f>
        <v>7067.7919727509352</v>
      </c>
      <c r="D209" s="23">
        <f>IF(A209="","",IF(AND(J209="P&amp;I",A209&gt;=Calculator!C9),MIN(Calculator!C8,MAX(0,B209-C209+F209)),0))</f>
        <v>0</v>
      </c>
      <c r="E209" s="23">
        <f t="shared" si="15"/>
        <v>7067.7919727509352</v>
      </c>
      <c r="F209" s="23">
        <f>IF(A209="","",IF(Calculator!C12="Beginning of Period",MAX(0,(B209-IF(J209="IO",Calculator!C22,Calculator!C21))*Calculator!C17),B209*Calculator!C17))</f>
        <v>3185.3651276397559</v>
      </c>
      <c r="G209" s="23">
        <f t="shared" si="16"/>
        <v>3882.4268451111793</v>
      </c>
      <c r="H209" s="23">
        <f t="shared" si="17"/>
        <v>542180.16646455904</v>
      </c>
      <c r="I209" s="23">
        <f t="shared" si="19"/>
        <v>941602.97706924449</v>
      </c>
      <c r="J209" s="24" t="str">
        <f>IF(A209="","",IF(A209&lt;=Calculator!C19,"IO","P&amp;I"))</f>
        <v>P&amp;I</v>
      </c>
    </row>
    <row r="210" spans="1:10" ht="15.75" customHeight="1" x14ac:dyDescent="0.25">
      <c r="A210" s="19">
        <f>IF(199&lt;=Calculator!C18,199,"")</f>
        <v>199</v>
      </c>
      <c r="B210" s="20">
        <f t="shared" si="18"/>
        <v>542180.16646455904</v>
      </c>
      <c r="C210" s="20">
        <f>IF(A210="","",IF(J210="IO",Calculator!C22,IF(B210&gt;0,MIN(Calculator!C21,B210*(1+Calculator!C17)),0)))</f>
        <v>7067.7919727509352</v>
      </c>
      <c r="D210" s="20">
        <f>IF(A210="","",IF(AND(J210="P&amp;I",A210&gt;=Calculator!C9),MIN(Calculator!C8,MAX(0,B210-C210+F210)),0))</f>
        <v>0</v>
      </c>
      <c r="E210" s="20">
        <f t="shared" si="15"/>
        <v>7067.7919727509352</v>
      </c>
      <c r="F210" s="20">
        <f>IF(A210="","",IF(Calculator!C12="Beginning of Period",MAX(0,(B210-IF(J210="IO",Calculator!C22,Calculator!C21))*Calculator!C17),B210*Calculator!C17))</f>
        <v>3162.7176377099404</v>
      </c>
      <c r="G210" s="20">
        <f t="shared" si="16"/>
        <v>3905.0743350409948</v>
      </c>
      <c r="H210" s="20">
        <f t="shared" si="17"/>
        <v>538275.09212951805</v>
      </c>
      <c r="I210" s="20">
        <f t="shared" si="19"/>
        <v>944765.69470695441</v>
      </c>
      <c r="J210" s="21" t="str">
        <f>IF(A210="","",IF(A210&lt;=Calculator!C19,"IO","P&amp;I"))</f>
        <v>P&amp;I</v>
      </c>
    </row>
    <row r="211" spans="1:10" ht="15.75" customHeight="1" x14ac:dyDescent="0.25">
      <c r="A211" s="22">
        <f>IF(200&lt;=Calculator!C18,200,"")</f>
        <v>200</v>
      </c>
      <c r="B211" s="23">
        <f t="shared" si="18"/>
        <v>538275.09212951805</v>
      </c>
      <c r="C211" s="23">
        <f>IF(A211="","",IF(J211="IO",Calculator!C22,IF(B211&gt;0,MIN(Calculator!C21,B211*(1+Calculator!C17)),0)))</f>
        <v>7067.7919727509352</v>
      </c>
      <c r="D211" s="23">
        <f>IF(A211="","",IF(AND(J211="P&amp;I",A211&gt;=Calculator!C9),MIN(Calculator!C8,MAX(0,B211-C211+F211)),0))</f>
        <v>0</v>
      </c>
      <c r="E211" s="23">
        <f t="shared" si="15"/>
        <v>7067.7919727509352</v>
      </c>
      <c r="F211" s="23">
        <f>IF(A211="","",IF(Calculator!C12="Beginning of Period",MAX(0,(B211-IF(J211="IO",Calculator!C22,Calculator!C21))*Calculator!C17),B211*Calculator!C17))</f>
        <v>3139.9380374222014</v>
      </c>
      <c r="G211" s="23">
        <f t="shared" si="16"/>
        <v>3927.8539353287338</v>
      </c>
      <c r="H211" s="23">
        <f t="shared" si="17"/>
        <v>534347.23819418927</v>
      </c>
      <c r="I211" s="23">
        <f t="shared" si="19"/>
        <v>947905.63274437666</v>
      </c>
      <c r="J211" s="24" t="str">
        <f>IF(A211="","",IF(A211&lt;=Calculator!C19,"IO","P&amp;I"))</f>
        <v>P&amp;I</v>
      </c>
    </row>
    <row r="212" spans="1:10" ht="15.75" customHeight="1" x14ac:dyDescent="0.25">
      <c r="A212" s="19">
        <f>IF(201&lt;=Calculator!C18,201,"")</f>
        <v>201</v>
      </c>
      <c r="B212" s="20">
        <f t="shared" si="18"/>
        <v>534347.23819418927</v>
      </c>
      <c r="C212" s="20">
        <f>IF(A212="","",IF(J212="IO",Calculator!C22,IF(B212&gt;0,MIN(Calculator!C21,B212*(1+Calculator!C17)),0)))</f>
        <v>7067.7919727509352</v>
      </c>
      <c r="D212" s="20">
        <f>IF(A212="","",IF(AND(J212="P&amp;I",A212&gt;=Calculator!C9),MIN(Calculator!C8,MAX(0,B212-C212+F212)),0))</f>
        <v>0</v>
      </c>
      <c r="E212" s="20">
        <f t="shared" si="15"/>
        <v>7067.7919727509352</v>
      </c>
      <c r="F212" s="20">
        <f>IF(A212="","",IF(Calculator!C12="Beginning of Period",MAX(0,(B212-IF(J212="IO",Calculator!C22,Calculator!C21))*Calculator!C17),B212*Calculator!C17))</f>
        <v>3117.0255561327835</v>
      </c>
      <c r="G212" s="20">
        <f t="shared" si="16"/>
        <v>3950.7664166181517</v>
      </c>
      <c r="H212" s="20">
        <f t="shared" si="17"/>
        <v>530396.47177757113</v>
      </c>
      <c r="I212" s="20">
        <f t="shared" si="19"/>
        <v>951022.65830050944</v>
      </c>
      <c r="J212" s="21" t="str">
        <f>IF(A212="","",IF(A212&lt;=Calculator!C19,"IO","P&amp;I"))</f>
        <v>P&amp;I</v>
      </c>
    </row>
    <row r="213" spans="1:10" ht="15.75" customHeight="1" x14ac:dyDescent="0.25">
      <c r="A213" s="22">
        <f>IF(202&lt;=Calculator!C18,202,"")</f>
        <v>202</v>
      </c>
      <c r="B213" s="23">
        <f t="shared" si="18"/>
        <v>530396.47177757113</v>
      </c>
      <c r="C213" s="23">
        <f>IF(A213="","",IF(J213="IO",Calculator!C22,IF(B213&gt;0,MIN(Calculator!C21,B213*(1+Calculator!C17)),0)))</f>
        <v>7067.7919727509352</v>
      </c>
      <c r="D213" s="23">
        <f>IF(A213="","",IF(AND(J213="P&amp;I",A213&gt;=Calculator!C9),MIN(Calculator!C8,MAX(0,B213-C213+F213)),0))</f>
        <v>0</v>
      </c>
      <c r="E213" s="23">
        <f t="shared" si="15"/>
        <v>7067.7919727509352</v>
      </c>
      <c r="F213" s="23">
        <f>IF(A213="","",IF(Calculator!C12="Beginning of Period",MAX(0,(B213-IF(J213="IO",Calculator!C22,Calculator!C21))*Calculator!C17),B213*Calculator!C17))</f>
        <v>3093.9794187025109</v>
      </c>
      <c r="G213" s="23">
        <f t="shared" si="16"/>
        <v>3973.8125540484243</v>
      </c>
      <c r="H213" s="23">
        <f t="shared" si="17"/>
        <v>526422.65922352276</v>
      </c>
      <c r="I213" s="23">
        <f t="shared" si="19"/>
        <v>954116.63771921198</v>
      </c>
      <c r="J213" s="24" t="str">
        <f>IF(A213="","",IF(A213&lt;=Calculator!C19,"IO","P&amp;I"))</f>
        <v>P&amp;I</v>
      </c>
    </row>
    <row r="214" spans="1:10" ht="15.75" customHeight="1" x14ac:dyDescent="0.25">
      <c r="A214" s="19">
        <f>IF(203&lt;=Calculator!C18,203,"")</f>
        <v>203</v>
      </c>
      <c r="B214" s="20">
        <f t="shared" si="18"/>
        <v>526422.65922352276</v>
      </c>
      <c r="C214" s="20">
        <f>IF(A214="","",IF(J214="IO",Calculator!C22,IF(B214&gt;0,MIN(Calculator!C21,B214*(1+Calculator!C17)),0)))</f>
        <v>7067.7919727509352</v>
      </c>
      <c r="D214" s="20">
        <f>IF(A214="","",IF(AND(J214="P&amp;I",A214&gt;=Calculator!C9),MIN(Calculator!C8,MAX(0,B214-C214+F214)),0))</f>
        <v>0</v>
      </c>
      <c r="E214" s="20">
        <f t="shared" si="15"/>
        <v>7067.7919727509352</v>
      </c>
      <c r="F214" s="20">
        <f>IF(A214="","",IF(Calculator!C12="Beginning of Period",MAX(0,(B214-IF(J214="IO",Calculator!C22,Calculator!C21))*Calculator!C17),B214*Calculator!C17))</f>
        <v>3070.7988454705619</v>
      </c>
      <c r="G214" s="20">
        <f t="shared" si="16"/>
        <v>3996.9931272803733</v>
      </c>
      <c r="H214" s="20">
        <f t="shared" si="17"/>
        <v>522425.66609624238</v>
      </c>
      <c r="I214" s="20">
        <f t="shared" si="19"/>
        <v>957187.43656468252</v>
      </c>
      <c r="J214" s="21" t="str">
        <f>IF(A214="","",IF(A214&lt;=Calculator!C19,"IO","P&amp;I"))</f>
        <v>P&amp;I</v>
      </c>
    </row>
    <row r="215" spans="1:10" ht="15.75" customHeight="1" x14ac:dyDescent="0.25">
      <c r="A215" s="22">
        <f>IF(204&lt;=Calculator!C18,204,"")</f>
        <v>204</v>
      </c>
      <c r="B215" s="23">
        <f t="shared" si="18"/>
        <v>522425.66609624238</v>
      </c>
      <c r="C215" s="23">
        <f>IF(A215="","",IF(J215="IO",Calculator!C22,IF(B215&gt;0,MIN(Calculator!C21,B215*(1+Calculator!C17)),0)))</f>
        <v>7067.7919727509352</v>
      </c>
      <c r="D215" s="23">
        <f>IF(A215="","",IF(AND(J215="P&amp;I",A215&gt;=Calculator!C9),MIN(Calculator!C8,MAX(0,B215-C215+F215)),0))</f>
        <v>0</v>
      </c>
      <c r="E215" s="23">
        <f t="shared" si="15"/>
        <v>7067.7919727509352</v>
      </c>
      <c r="F215" s="23">
        <f>IF(A215="","",IF(Calculator!C12="Beginning of Period",MAX(0,(B215-IF(J215="IO",Calculator!C22,Calculator!C21))*Calculator!C17),B215*Calculator!C17))</f>
        <v>3047.4830522280931</v>
      </c>
      <c r="G215" s="23">
        <f t="shared" si="16"/>
        <v>4020.3089205228421</v>
      </c>
      <c r="H215" s="23">
        <f t="shared" si="17"/>
        <v>518405.35717571952</v>
      </c>
      <c r="I215" s="23">
        <f t="shared" si="19"/>
        <v>960234.91961691063</v>
      </c>
      <c r="J215" s="24" t="str">
        <f>IF(A215="","",IF(A215&lt;=Calculator!C19,"IO","P&amp;I"))</f>
        <v>P&amp;I</v>
      </c>
    </row>
    <row r="216" spans="1:10" ht="15.75" customHeight="1" x14ac:dyDescent="0.25">
      <c r="A216" s="19">
        <f>IF(205&lt;=Calculator!C18,205,"")</f>
        <v>205</v>
      </c>
      <c r="B216" s="20">
        <f t="shared" si="18"/>
        <v>518405.35717571952</v>
      </c>
      <c r="C216" s="20">
        <f>IF(A216="","",IF(J216="IO",Calculator!C22,IF(B216&gt;0,MIN(Calculator!C21,B216*(1+Calculator!C17)),0)))</f>
        <v>7067.7919727509352</v>
      </c>
      <c r="D216" s="20">
        <f>IF(A216="","",IF(AND(J216="P&amp;I",A216&gt;=Calculator!C9),MIN(Calculator!C8,MAX(0,B216-C216+F216)),0))</f>
        <v>0</v>
      </c>
      <c r="E216" s="20">
        <f t="shared" si="15"/>
        <v>7067.7919727509352</v>
      </c>
      <c r="F216" s="20">
        <f>IF(A216="","",IF(Calculator!C12="Beginning of Period",MAX(0,(B216-IF(J216="IO",Calculator!C22,Calculator!C21))*Calculator!C17),B216*Calculator!C17))</f>
        <v>3024.0312501917097</v>
      </c>
      <c r="G216" s="20">
        <f t="shared" si="16"/>
        <v>4043.7607225592255</v>
      </c>
      <c r="H216" s="20">
        <f t="shared" si="17"/>
        <v>514361.59645316028</v>
      </c>
      <c r="I216" s="20">
        <f t="shared" si="19"/>
        <v>963258.95086710237</v>
      </c>
      <c r="J216" s="21" t="str">
        <f>IF(A216="","",IF(A216&lt;=Calculator!C19,"IO","P&amp;I"))</f>
        <v>P&amp;I</v>
      </c>
    </row>
    <row r="217" spans="1:10" ht="15.75" customHeight="1" x14ac:dyDescent="0.25">
      <c r="A217" s="22">
        <f>IF(206&lt;=Calculator!C18,206,"")</f>
        <v>206</v>
      </c>
      <c r="B217" s="23">
        <f t="shared" si="18"/>
        <v>514361.59645316028</v>
      </c>
      <c r="C217" s="23">
        <f>IF(A217="","",IF(J217="IO",Calculator!C22,IF(B217&gt;0,MIN(Calculator!C21,B217*(1+Calculator!C17)),0)))</f>
        <v>7067.7919727509352</v>
      </c>
      <c r="D217" s="23">
        <f>IF(A217="","",IF(AND(J217="P&amp;I",A217&gt;=Calculator!C9),MIN(Calculator!C8,MAX(0,B217-C217+F217)),0))</f>
        <v>0</v>
      </c>
      <c r="E217" s="23">
        <f t="shared" si="15"/>
        <v>7067.7919727509352</v>
      </c>
      <c r="F217" s="23">
        <f>IF(A217="","",IF(Calculator!C12="Beginning of Period",MAX(0,(B217-IF(J217="IO",Calculator!C22,Calculator!C21))*Calculator!C17),B217*Calculator!C17))</f>
        <v>3000.4426459767806</v>
      </c>
      <c r="G217" s="23">
        <f t="shared" si="16"/>
        <v>4067.3493267741546</v>
      </c>
      <c r="H217" s="23">
        <f t="shared" si="17"/>
        <v>510294.24712638615</v>
      </c>
      <c r="I217" s="23">
        <f t="shared" si="19"/>
        <v>966259.39351307915</v>
      </c>
      <c r="J217" s="24" t="str">
        <f>IF(A217="","",IF(A217&lt;=Calculator!C19,"IO","P&amp;I"))</f>
        <v>P&amp;I</v>
      </c>
    </row>
    <row r="218" spans="1:10" ht="15.75" customHeight="1" x14ac:dyDescent="0.25">
      <c r="A218" s="19">
        <f>IF(207&lt;=Calculator!C18,207,"")</f>
        <v>207</v>
      </c>
      <c r="B218" s="20">
        <f t="shared" si="18"/>
        <v>510294.24712638615</v>
      </c>
      <c r="C218" s="20">
        <f>IF(A218="","",IF(J218="IO",Calculator!C22,IF(B218&gt;0,MIN(Calculator!C21,B218*(1+Calculator!C17)),0)))</f>
        <v>7067.7919727509352</v>
      </c>
      <c r="D218" s="20">
        <f>IF(A218="","",IF(AND(J218="P&amp;I",A218&gt;=Calculator!C9),MIN(Calculator!C8,MAX(0,B218-C218+F218)),0))</f>
        <v>0</v>
      </c>
      <c r="E218" s="20">
        <f t="shared" si="15"/>
        <v>7067.7919727509352</v>
      </c>
      <c r="F218" s="20">
        <f>IF(A218="","",IF(Calculator!C12="Beginning of Period",MAX(0,(B218-IF(J218="IO",Calculator!C22,Calculator!C21))*Calculator!C17),B218*Calculator!C17))</f>
        <v>2976.7164415705979</v>
      </c>
      <c r="G218" s="20">
        <f t="shared" si="16"/>
        <v>4091.0755311803373</v>
      </c>
      <c r="H218" s="20">
        <f t="shared" si="17"/>
        <v>506203.17159520579</v>
      </c>
      <c r="I218" s="20">
        <f t="shared" si="19"/>
        <v>969236.1099546497</v>
      </c>
      <c r="J218" s="21" t="str">
        <f>IF(A218="","",IF(A218&lt;=Calculator!C19,"IO","P&amp;I"))</f>
        <v>P&amp;I</v>
      </c>
    </row>
    <row r="219" spans="1:10" ht="15.75" customHeight="1" x14ac:dyDescent="0.25">
      <c r="A219" s="22">
        <f>IF(208&lt;=Calculator!C18,208,"")</f>
        <v>208</v>
      </c>
      <c r="B219" s="23">
        <f t="shared" si="18"/>
        <v>506203.17159520579</v>
      </c>
      <c r="C219" s="23">
        <f>IF(A219="","",IF(J219="IO",Calculator!C22,IF(B219&gt;0,MIN(Calculator!C21,B219*(1+Calculator!C17)),0)))</f>
        <v>7067.7919727509352</v>
      </c>
      <c r="D219" s="23">
        <f>IF(A219="","",IF(AND(J219="P&amp;I",A219&gt;=Calculator!C9),MIN(Calculator!C8,MAX(0,B219-C219+F219)),0))</f>
        <v>0</v>
      </c>
      <c r="E219" s="23">
        <f t="shared" si="15"/>
        <v>7067.7919727509352</v>
      </c>
      <c r="F219" s="23">
        <f>IF(A219="","",IF(Calculator!C12="Beginning of Period",MAX(0,(B219-IF(J219="IO",Calculator!C22,Calculator!C21))*Calculator!C17),B219*Calculator!C17))</f>
        <v>2952.8518343053793</v>
      </c>
      <c r="G219" s="23">
        <f t="shared" si="16"/>
        <v>4114.9401384455559</v>
      </c>
      <c r="H219" s="23">
        <f t="shared" si="17"/>
        <v>502088.2314567602</v>
      </c>
      <c r="I219" s="23">
        <f t="shared" si="19"/>
        <v>972188.96178895503</v>
      </c>
      <c r="J219" s="24" t="str">
        <f>IF(A219="","",IF(A219&lt;=Calculator!C19,"IO","P&amp;I"))</f>
        <v>P&amp;I</v>
      </c>
    </row>
    <row r="220" spans="1:10" ht="15.75" customHeight="1" x14ac:dyDescent="0.25">
      <c r="A220" s="19">
        <f>IF(209&lt;=Calculator!C18,209,"")</f>
        <v>209</v>
      </c>
      <c r="B220" s="20">
        <f t="shared" si="18"/>
        <v>502088.2314567602</v>
      </c>
      <c r="C220" s="20">
        <f>IF(A220="","",IF(J220="IO",Calculator!C22,IF(B220&gt;0,MIN(Calculator!C21,B220*(1+Calculator!C17)),0)))</f>
        <v>7067.7919727509352</v>
      </c>
      <c r="D220" s="20">
        <f>IF(A220="","",IF(AND(J220="P&amp;I",A220&gt;=Calculator!C9),MIN(Calculator!C8,MAX(0,B220-C220+F220)),0))</f>
        <v>0</v>
      </c>
      <c r="E220" s="20">
        <f t="shared" si="15"/>
        <v>7067.7919727509352</v>
      </c>
      <c r="F220" s="20">
        <f>IF(A220="","",IF(Calculator!C12="Beginning of Period",MAX(0,(B220-IF(J220="IO",Calculator!C22,Calculator!C21))*Calculator!C17),B220*Calculator!C17))</f>
        <v>2928.848016831113</v>
      </c>
      <c r="G220" s="20">
        <f t="shared" si="16"/>
        <v>4138.9439559198217</v>
      </c>
      <c r="H220" s="20">
        <f t="shared" si="17"/>
        <v>497949.28750084038</v>
      </c>
      <c r="I220" s="20">
        <f t="shared" si="19"/>
        <v>975117.80980578612</v>
      </c>
      <c r="J220" s="21" t="str">
        <f>IF(A220="","",IF(A220&lt;=Calculator!C19,"IO","P&amp;I"))</f>
        <v>P&amp;I</v>
      </c>
    </row>
    <row r="221" spans="1:10" ht="15.75" customHeight="1" x14ac:dyDescent="0.25">
      <c r="A221" s="22">
        <f>IF(210&lt;=Calculator!C18,210,"")</f>
        <v>210</v>
      </c>
      <c r="B221" s="23">
        <f t="shared" si="18"/>
        <v>497949.28750084038</v>
      </c>
      <c r="C221" s="23">
        <f>IF(A221="","",IF(J221="IO",Calculator!C22,IF(B221&gt;0,MIN(Calculator!C21,B221*(1+Calculator!C17)),0)))</f>
        <v>7067.7919727509352</v>
      </c>
      <c r="D221" s="23">
        <f>IF(A221="","",IF(AND(J221="P&amp;I",A221&gt;=Calculator!C9),MIN(Calculator!C8,MAX(0,B221-C221+F221)),0))</f>
        <v>0</v>
      </c>
      <c r="E221" s="23">
        <f t="shared" si="15"/>
        <v>7067.7919727509352</v>
      </c>
      <c r="F221" s="23">
        <f>IF(A221="","",IF(Calculator!C12="Beginning of Period",MAX(0,(B221-IF(J221="IO",Calculator!C22,Calculator!C21))*Calculator!C17),B221*Calculator!C17))</f>
        <v>2904.7041770882474</v>
      </c>
      <c r="G221" s="23">
        <f t="shared" si="16"/>
        <v>4163.0877956626882</v>
      </c>
      <c r="H221" s="23">
        <f t="shared" si="17"/>
        <v>493786.19970517769</v>
      </c>
      <c r="I221" s="23">
        <f t="shared" si="19"/>
        <v>978022.51398287434</v>
      </c>
      <c r="J221" s="24" t="str">
        <f>IF(A221="","",IF(A221&lt;=Calculator!C19,"IO","P&amp;I"))</f>
        <v>P&amp;I</v>
      </c>
    </row>
    <row r="222" spans="1:10" ht="15.75" customHeight="1" x14ac:dyDescent="0.25">
      <c r="A222" s="19">
        <f>IF(211&lt;=Calculator!C18,211,"")</f>
        <v>211</v>
      </c>
      <c r="B222" s="20">
        <f t="shared" si="18"/>
        <v>493786.19970517769</v>
      </c>
      <c r="C222" s="20">
        <f>IF(A222="","",IF(J222="IO",Calculator!C22,IF(B222&gt;0,MIN(Calculator!C21,B222*(1+Calculator!C17)),0)))</f>
        <v>7067.7919727509352</v>
      </c>
      <c r="D222" s="20">
        <f>IF(A222="","",IF(AND(J222="P&amp;I",A222&gt;=Calculator!C9),MIN(Calculator!C8,MAX(0,B222-C222+F222)),0))</f>
        <v>0</v>
      </c>
      <c r="E222" s="20">
        <f t="shared" si="15"/>
        <v>7067.7919727509352</v>
      </c>
      <c r="F222" s="20">
        <f>IF(A222="","",IF(Calculator!C12="Beginning of Period",MAX(0,(B222-IF(J222="IO",Calculator!C22,Calculator!C21))*Calculator!C17),B222*Calculator!C17))</f>
        <v>2880.4194982802151</v>
      </c>
      <c r="G222" s="20">
        <f t="shared" si="16"/>
        <v>4187.3724744707197</v>
      </c>
      <c r="H222" s="20">
        <f t="shared" si="17"/>
        <v>489598.82723070699</v>
      </c>
      <c r="I222" s="20">
        <f t="shared" si="19"/>
        <v>980902.93348115461</v>
      </c>
      <c r="J222" s="21" t="str">
        <f>IF(A222="","",IF(A222&lt;=Calculator!C19,"IO","P&amp;I"))</f>
        <v>P&amp;I</v>
      </c>
    </row>
    <row r="223" spans="1:10" ht="15.75" customHeight="1" x14ac:dyDescent="0.25">
      <c r="A223" s="22">
        <f>IF(212&lt;=Calculator!C18,212,"")</f>
        <v>212</v>
      </c>
      <c r="B223" s="23">
        <f t="shared" si="18"/>
        <v>489598.82723070699</v>
      </c>
      <c r="C223" s="23">
        <f>IF(A223="","",IF(J223="IO",Calculator!C22,IF(B223&gt;0,MIN(Calculator!C21,B223*(1+Calculator!C17)),0)))</f>
        <v>7067.7919727509352</v>
      </c>
      <c r="D223" s="23">
        <f>IF(A223="","",IF(AND(J223="P&amp;I",A223&gt;=Calculator!C9),MIN(Calculator!C8,MAX(0,B223-C223+F223)),0))</f>
        <v>0</v>
      </c>
      <c r="E223" s="23">
        <f t="shared" si="15"/>
        <v>7067.7919727509352</v>
      </c>
      <c r="F223" s="23">
        <f>IF(A223="","",IF(Calculator!C12="Beginning of Period",MAX(0,(B223-IF(J223="IO",Calculator!C22,Calculator!C21))*Calculator!C17),B223*Calculator!C17))</f>
        <v>2855.9931588458026</v>
      </c>
      <c r="G223" s="23">
        <f t="shared" si="16"/>
        <v>4211.7988139051322</v>
      </c>
      <c r="H223" s="23">
        <f t="shared" si="17"/>
        <v>485387.02841680183</v>
      </c>
      <c r="I223" s="23">
        <f t="shared" si="19"/>
        <v>983758.92664000043</v>
      </c>
      <c r="J223" s="24" t="str">
        <f>IF(A223="","",IF(A223&lt;=Calculator!C19,"IO","P&amp;I"))</f>
        <v>P&amp;I</v>
      </c>
    </row>
    <row r="224" spans="1:10" ht="15.75" customHeight="1" x14ac:dyDescent="0.25">
      <c r="A224" s="19">
        <f>IF(213&lt;=Calculator!C18,213,"")</f>
        <v>213</v>
      </c>
      <c r="B224" s="20">
        <f t="shared" si="18"/>
        <v>485387.02841680183</v>
      </c>
      <c r="C224" s="20">
        <f>IF(A224="","",IF(J224="IO",Calculator!C22,IF(B224&gt;0,MIN(Calculator!C21,B224*(1+Calculator!C17)),0)))</f>
        <v>7067.7919727509352</v>
      </c>
      <c r="D224" s="20">
        <f>IF(A224="","",IF(AND(J224="P&amp;I",A224&gt;=Calculator!C9),MIN(Calculator!C8,MAX(0,B224-C224+F224)),0))</f>
        <v>0</v>
      </c>
      <c r="E224" s="20">
        <f t="shared" si="15"/>
        <v>7067.7919727509352</v>
      </c>
      <c r="F224" s="20">
        <f>IF(A224="","",IF(Calculator!C12="Beginning of Period",MAX(0,(B224-IF(J224="IO",Calculator!C22,Calculator!C21))*Calculator!C17),B224*Calculator!C17))</f>
        <v>2831.4243324313557</v>
      </c>
      <c r="G224" s="20">
        <f t="shared" si="16"/>
        <v>4236.3676403195796</v>
      </c>
      <c r="H224" s="20">
        <f t="shared" si="17"/>
        <v>481150.66077648225</v>
      </c>
      <c r="I224" s="20">
        <f t="shared" si="19"/>
        <v>986590.35097243183</v>
      </c>
      <c r="J224" s="21" t="str">
        <f>IF(A224="","",IF(A224&lt;=Calculator!C19,"IO","P&amp;I"))</f>
        <v>P&amp;I</v>
      </c>
    </row>
    <row r="225" spans="1:10" ht="15.75" customHeight="1" x14ac:dyDescent="0.25">
      <c r="A225" s="22">
        <f>IF(214&lt;=Calculator!C18,214,"")</f>
        <v>214</v>
      </c>
      <c r="B225" s="23">
        <f t="shared" si="18"/>
        <v>481150.66077648225</v>
      </c>
      <c r="C225" s="23">
        <f>IF(A225="","",IF(J225="IO",Calculator!C22,IF(B225&gt;0,MIN(Calculator!C21,B225*(1+Calculator!C17)),0)))</f>
        <v>7067.7919727509352</v>
      </c>
      <c r="D225" s="23">
        <f>IF(A225="","",IF(AND(J225="P&amp;I",A225&gt;=Calculator!C9),MIN(Calculator!C8,MAX(0,B225-C225+F225)),0))</f>
        <v>0</v>
      </c>
      <c r="E225" s="23">
        <f t="shared" si="15"/>
        <v>7067.7919727509352</v>
      </c>
      <c r="F225" s="23">
        <f>IF(A225="","",IF(Calculator!C12="Beginning of Period",MAX(0,(B225-IF(J225="IO",Calculator!C22,Calculator!C21))*Calculator!C17),B225*Calculator!C17))</f>
        <v>2806.7121878628245</v>
      </c>
      <c r="G225" s="23">
        <f t="shared" si="16"/>
        <v>4261.0797848881102</v>
      </c>
      <c r="H225" s="23">
        <f t="shared" si="17"/>
        <v>476889.58099159412</v>
      </c>
      <c r="I225" s="23">
        <f t="shared" si="19"/>
        <v>989397.06316029467</v>
      </c>
      <c r="J225" s="24" t="str">
        <f>IF(A225="","",IF(A225&lt;=Calculator!C19,"IO","P&amp;I"))</f>
        <v>P&amp;I</v>
      </c>
    </row>
    <row r="226" spans="1:10" ht="15.75" customHeight="1" x14ac:dyDescent="0.25">
      <c r="A226" s="19">
        <f>IF(215&lt;=Calculator!C18,215,"")</f>
        <v>215</v>
      </c>
      <c r="B226" s="20">
        <f t="shared" si="18"/>
        <v>476889.58099159412</v>
      </c>
      <c r="C226" s="20">
        <f>IF(A226="","",IF(J226="IO",Calculator!C22,IF(B226&gt;0,MIN(Calculator!C21,B226*(1+Calculator!C17)),0)))</f>
        <v>7067.7919727509352</v>
      </c>
      <c r="D226" s="20">
        <f>IF(A226="","",IF(AND(J226="P&amp;I",A226&gt;=Calculator!C9),MIN(Calculator!C8,MAX(0,B226-C226+F226)),0))</f>
        <v>0</v>
      </c>
      <c r="E226" s="20">
        <f t="shared" si="15"/>
        <v>7067.7919727509352</v>
      </c>
      <c r="F226" s="20">
        <f>IF(A226="","",IF(Calculator!C12="Beginning of Period",MAX(0,(B226-IF(J226="IO",Calculator!C22,Calculator!C21))*Calculator!C17),B226*Calculator!C17))</f>
        <v>2781.8558891176435</v>
      </c>
      <c r="G226" s="20">
        <f t="shared" si="16"/>
        <v>4285.9360836332917</v>
      </c>
      <c r="H226" s="20">
        <f t="shared" si="17"/>
        <v>472603.64490796084</v>
      </c>
      <c r="I226" s="20">
        <f t="shared" si="19"/>
        <v>992178.91904941236</v>
      </c>
      <c r="J226" s="21" t="str">
        <f>IF(A226="","",IF(A226&lt;=Calculator!C19,"IO","P&amp;I"))</f>
        <v>P&amp;I</v>
      </c>
    </row>
    <row r="227" spans="1:10" ht="15.75" customHeight="1" x14ac:dyDescent="0.25">
      <c r="A227" s="22">
        <f>IF(216&lt;=Calculator!C18,216,"")</f>
        <v>216</v>
      </c>
      <c r="B227" s="23">
        <f t="shared" si="18"/>
        <v>472603.64490796084</v>
      </c>
      <c r="C227" s="23">
        <f>IF(A227="","",IF(J227="IO",Calculator!C22,IF(B227&gt;0,MIN(Calculator!C21,B227*(1+Calculator!C17)),0)))</f>
        <v>7067.7919727509352</v>
      </c>
      <c r="D227" s="23">
        <f>IF(A227="","",IF(AND(J227="P&amp;I",A227&gt;=Calculator!C9),MIN(Calculator!C8,MAX(0,B227-C227+F227)),0))</f>
        <v>0</v>
      </c>
      <c r="E227" s="23">
        <f t="shared" si="15"/>
        <v>7067.7919727509352</v>
      </c>
      <c r="F227" s="23">
        <f>IF(A227="","",IF(Calculator!C12="Beginning of Period",MAX(0,(B227-IF(J227="IO",Calculator!C22,Calculator!C21))*Calculator!C17),B227*Calculator!C17))</f>
        <v>2756.8545952964496</v>
      </c>
      <c r="G227" s="23">
        <f t="shared" si="16"/>
        <v>4310.9373774544856</v>
      </c>
      <c r="H227" s="23">
        <f t="shared" si="17"/>
        <v>468292.70753050636</v>
      </c>
      <c r="I227" s="23">
        <f t="shared" si="19"/>
        <v>994935.7736447088</v>
      </c>
      <c r="J227" s="24" t="str">
        <f>IF(A227="","",IF(A227&lt;=Calculator!C19,"IO","P&amp;I"))</f>
        <v>P&amp;I</v>
      </c>
    </row>
    <row r="228" spans="1:10" ht="15.75" customHeight="1" x14ac:dyDescent="0.25">
      <c r="A228" s="19">
        <f>IF(217&lt;=Calculator!C18,217,"")</f>
        <v>217</v>
      </c>
      <c r="B228" s="20">
        <f t="shared" si="18"/>
        <v>468292.70753050636</v>
      </c>
      <c r="C228" s="20">
        <f>IF(A228="","",IF(J228="IO",Calculator!C22,IF(B228&gt;0,MIN(Calculator!C21,B228*(1+Calculator!C17)),0)))</f>
        <v>7067.7919727509352</v>
      </c>
      <c r="D228" s="20">
        <f>IF(A228="","",IF(AND(J228="P&amp;I",A228&gt;=Calculator!C9),MIN(Calculator!C8,MAX(0,B228-C228+F228)),0))</f>
        <v>0</v>
      </c>
      <c r="E228" s="20">
        <f t="shared" si="15"/>
        <v>7067.7919727509352</v>
      </c>
      <c r="F228" s="20">
        <f>IF(A228="","",IF(Calculator!C12="Beginning of Period",MAX(0,(B228-IF(J228="IO",Calculator!C22,Calculator!C21))*Calculator!C17),B228*Calculator!C17))</f>
        <v>2731.7074605946314</v>
      </c>
      <c r="G228" s="20">
        <f t="shared" si="16"/>
        <v>4336.0845121563034</v>
      </c>
      <c r="H228" s="20">
        <f t="shared" si="17"/>
        <v>463956.62301835004</v>
      </c>
      <c r="I228" s="20">
        <f t="shared" si="19"/>
        <v>997667.48110530339</v>
      </c>
      <c r="J228" s="21" t="str">
        <f>IF(A228="","",IF(A228&lt;=Calculator!C19,"IO","P&amp;I"))</f>
        <v>P&amp;I</v>
      </c>
    </row>
    <row r="229" spans="1:10" ht="15.75" customHeight="1" x14ac:dyDescent="0.25">
      <c r="A229" s="22">
        <f>IF(218&lt;=Calculator!C18,218,"")</f>
        <v>218</v>
      </c>
      <c r="B229" s="23">
        <f t="shared" si="18"/>
        <v>463956.62301835004</v>
      </c>
      <c r="C229" s="23">
        <f>IF(A229="","",IF(J229="IO",Calculator!C22,IF(B229&gt;0,MIN(Calculator!C21,B229*(1+Calculator!C17)),0)))</f>
        <v>7067.7919727509352</v>
      </c>
      <c r="D229" s="23">
        <f>IF(A229="","",IF(AND(J229="P&amp;I",A229&gt;=Calculator!C9),MIN(Calculator!C8,MAX(0,B229-C229+F229)),0))</f>
        <v>0</v>
      </c>
      <c r="E229" s="23">
        <f t="shared" si="15"/>
        <v>7067.7919727509352</v>
      </c>
      <c r="F229" s="23">
        <f>IF(A229="","",IF(Calculator!C12="Beginning of Period",MAX(0,(B229-IF(J229="IO",Calculator!C22,Calculator!C21))*Calculator!C17),B229*Calculator!C17))</f>
        <v>2706.4136342737197</v>
      </c>
      <c r="G229" s="23">
        <f t="shared" si="16"/>
        <v>4361.3783384772159</v>
      </c>
      <c r="H229" s="23">
        <f t="shared" si="17"/>
        <v>459595.24467987282</v>
      </c>
      <c r="I229" s="23">
        <f t="shared" si="19"/>
        <v>1000373.8947395771</v>
      </c>
      <c r="J229" s="24" t="str">
        <f>IF(A229="","",IF(A229&lt;=Calculator!C19,"IO","P&amp;I"))</f>
        <v>P&amp;I</v>
      </c>
    </row>
    <row r="230" spans="1:10" ht="15.75" customHeight="1" x14ac:dyDescent="0.25">
      <c r="A230" s="19">
        <f>IF(219&lt;=Calculator!C18,219,"")</f>
        <v>219</v>
      </c>
      <c r="B230" s="20">
        <f t="shared" si="18"/>
        <v>459595.24467987282</v>
      </c>
      <c r="C230" s="20">
        <f>IF(A230="","",IF(J230="IO",Calculator!C22,IF(B230&gt;0,MIN(Calculator!C21,B230*(1+Calculator!C17)),0)))</f>
        <v>7067.7919727509352</v>
      </c>
      <c r="D230" s="20">
        <f>IF(A230="","",IF(AND(J230="P&amp;I",A230&gt;=Calculator!C9),MIN(Calculator!C8,MAX(0,B230-C230+F230)),0))</f>
        <v>0</v>
      </c>
      <c r="E230" s="20">
        <f t="shared" si="15"/>
        <v>7067.7919727509352</v>
      </c>
      <c r="F230" s="20">
        <f>IF(A230="","",IF(Calculator!C12="Beginning of Period",MAX(0,(B230-IF(J230="IO",Calculator!C22,Calculator!C21))*Calculator!C17),B230*Calculator!C17))</f>
        <v>2680.9722606326022</v>
      </c>
      <c r="G230" s="20">
        <f t="shared" si="16"/>
        <v>4386.819712118333</v>
      </c>
      <c r="H230" s="20">
        <f t="shared" si="17"/>
        <v>455208.42496775452</v>
      </c>
      <c r="I230" s="20">
        <f t="shared" si="19"/>
        <v>1003054.8670002096</v>
      </c>
      <c r="J230" s="21" t="str">
        <f>IF(A230="","",IF(A230&lt;=Calculator!C19,"IO","P&amp;I"))</f>
        <v>P&amp;I</v>
      </c>
    </row>
    <row r="231" spans="1:10" ht="15.75" customHeight="1" x14ac:dyDescent="0.25">
      <c r="A231" s="22">
        <f>IF(220&lt;=Calculator!C18,220,"")</f>
        <v>220</v>
      </c>
      <c r="B231" s="23">
        <f t="shared" si="18"/>
        <v>455208.42496775452</v>
      </c>
      <c r="C231" s="23">
        <f>IF(A231="","",IF(J231="IO",Calculator!C22,IF(B231&gt;0,MIN(Calculator!C21,B231*(1+Calculator!C17)),0)))</f>
        <v>7067.7919727509352</v>
      </c>
      <c r="D231" s="23">
        <f>IF(A231="","",IF(AND(J231="P&amp;I",A231&gt;=Calculator!C9),MIN(Calculator!C8,MAX(0,B231-C231+F231)),0))</f>
        <v>0</v>
      </c>
      <c r="E231" s="23">
        <f t="shared" si="15"/>
        <v>7067.7919727509352</v>
      </c>
      <c r="F231" s="23">
        <f>IF(A231="","",IF(Calculator!C12="Beginning of Period",MAX(0,(B231-IF(J231="IO",Calculator!C22,Calculator!C21))*Calculator!C17),B231*Calculator!C17))</f>
        <v>2655.382478978579</v>
      </c>
      <c r="G231" s="23">
        <f t="shared" si="16"/>
        <v>4412.4094937723567</v>
      </c>
      <c r="H231" s="23">
        <f t="shared" si="17"/>
        <v>450796.01547398214</v>
      </c>
      <c r="I231" s="23">
        <f t="shared" si="19"/>
        <v>1005710.2494791882</v>
      </c>
      <c r="J231" s="24" t="str">
        <f>IF(A231="","",IF(A231&lt;=Calculator!C19,"IO","P&amp;I"))</f>
        <v>P&amp;I</v>
      </c>
    </row>
    <row r="232" spans="1:10" ht="15.75" customHeight="1" x14ac:dyDescent="0.25">
      <c r="A232" s="19">
        <f>IF(221&lt;=Calculator!C18,221,"")</f>
        <v>221</v>
      </c>
      <c r="B232" s="20">
        <f t="shared" si="18"/>
        <v>450796.01547398214</v>
      </c>
      <c r="C232" s="20">
        <f>IF(A232="","",IF(J232="IO",Calculator!C22,IF(B232&gt;0,MIN(Calculator!C21,B232*(1+Calculator!C17)),0)))</f>
        <v>7067.7919727509352</v>
      </c>
      <c r="D232" s="20">
        <f>IF(A232="","",IF(AND(J232="P&amp;I",A232&gt;=Calculator!C9),MIN(Calculator!C8,MAX(0,B232-C232+F232)),0))</f>
        <v>0</v>
      </c>
      <c r="E232" s="20">
        <f t="shared" si="15"/>
        <v>7067.7919727509352</v>
      </c>
      <c r="F232" s="20">
        <f>IF(A232="","",IF(Calculator!C12="Beginning of Period",MAX(0,(B232-IF(J232="IO",Calculator!C22,Calculator!C21))*Calculator!C17),B232*Calculator!C17))</f>
        <v>2629.6434235982397</v>
      </c>
      <c r="G232" s="20">
        <f t="shared" si="16"/>
        <v>4438.1485491526955</v>
      </c>
      <c r="H232" s="20">
        <f t="shared" si="17"/>
        <v>446357.86692482943</v>
      </c>
      <c r="I232" s="20">
        <f t="shared" si="19"/>
        <v>1008339.8929027865</v>
      </c>
      <c r="J232" s="21" t="str">
        <f>IF(A232="","",IF(A232&lt;=Calculator!C19,"IO","P&amp;I"))</f>
        <v>P&amp;I</v>
      </c>
    </row>
    <row r="233" spans="1:10" ht="15.75" customHeight="1" x14ac:dyDescent="0.25">
      <c r="A233" s="22">
        <f>IF(222&lt;=Calculator!C18,222,"")</f>
        <v>222</v>
      </c>
      <c r="B233" s="23">
        <f t="shared" si="18"/>
        <v>446357.86692482943</v>
      </c>
      <c r="C233" s="23">
        <f>IF(A233="","",IF(J233="IO",Calculator!C22,IF(B233&gt;0,MIN(Calculator!C21,B233*(1+Calculator!C17)),0)))</f>
        <v>7067.7919727509352</v>
      </c>
      <c r="D233" s="23">
        <f>IF(A233="","",IF(AND(J233="P&amp;I",A233&gt;=Calculator!C9),MIN(Calculator!C8,MAX(0,B233-C233+F233)),0))</f>
        <v>0</v>
      </c>
      <c r="E233" s="23">
        <f t="shared" si="15"/>
        <v>7067.7919727509352</v>
      </c>
      <c r="F233" s="23">
        <f>IF(A233="","",IF(Calculator!C12="Beginning of Period",MAX(0,(B233-IF(J233="IO",Calculator!C22,Calculator!C21))*Calculator!C17),B233*Calculator!C17))</f>
        <v>2603.7542237281823</v>
      </c>
      <c r="G233" s="23">
        <f t="shared" si="16"/>
        <v>4464.0377490227529</v>
      </c>
      <c r="H233" s="23">
        <f t="shared" si="17"/>
        <v>441893.82917580666</v>
      </c>
      <c r="I233" s="23">
        <f t="shared" si="19"/>
        <v>1010943.6471265147</v>
      </c>
      <c r="J233" s="24" t="str">
        <f>IF(A233="","",IF(A233&lt;=Calculator!C19,"IO","P&amp;I"))</f>
        <v>P&amp;I</v>
      </c>
    </row>
    <row r="234" spans="1:10" ht="15.75" customHeight="1" x14ac:dyDescent="0.25">
      <c r="A234" s="19">
        <f>IF(223&lt;=Calculator!C18,223,"")</f>
        <v>223</v>
      </c>
      <c r="B234" s="20">
        <f t="shared" si="18"/>
        <v>441893.82917580666</v>
      </c>
      <c r="C234" s="20">
        <f>IF(A234="","",IF(J234="IO",Calculator!C22,IF(B234&gt;0,MIN(Calculator!C21,B234*(1+Calculator!C17)),0)))</f>
        <v>7067.7919727509352</v>
      </c>
      <c r="D234" s="20">
        <f>IF(A234="","",IF(AND(J234="P&amp;I",A234&gt;=Calculator!C9),MIN(Calculator!C8,MAX(0,B234-C234+F234)),0))</f>
        <v>0</v>
      </c>
      <c r="E234" s="20">
        <f t="shared" si="15"/>
        <v>7067.7919727509352</v>
      </c>
      <c r="F234" s="20">
        <f>IF(A234="","",IF(Calculator!C12="Beginning of Period",MAX(0,(B234-IF(J234="IO",Calculator!C22,Calculator!C21))*Calculator!C17),B234*Calculator!C17))</f>
        <v>2577.7140035255493</v>
      </c>
      <c r="G234" s="20">
        <f t="shared" si="16"/>
        <v>4490.0779692253855</v>
      </c>
      <c r="H234" s="20">
        <f t="shared" si="17"/>
        <v>437403.75120658125</v>
      </c>
      <c r="I234" s="20">
        <f t="shared" si="19"/>
        <v>1013521.3611300403</v>
      </c>
      <c r="J234" s="21" t="str">
        <f>IF(A234="","",IF(A234&lt;=Calculator!C19,"IO","P&amp;I"))</f>
        <v>P&amp;I</v>
      </c>
    </row>
    <row r="235" spans="1:10" ht="15.75" customHeight="1" x14ac:dyDescent="0.25">
      <c r="A235" s="22">
        <f>IF(224&lt;=Calculator!C18,224,"")</f>
        <v>224</v>
      </c>
      <c r="B235" s="23">
        <f t="shared" si="18"/>
        <v>437403.75120658125</v>
      </c>
      <c r="C235" s="23">
        <f>IF(A235="","",IF(J235="IO",Calculator!C22,IF(B235&gt;0,MIN(Calculator!C21,B235*(1+Calculator!C17)),0)))</f>
        <v>7067.7919727509352</v>
      </c>
      <c r="D235" s="23">
        <f>IF(A235="","",IF(AND(J235="P&amp;I",A235&gt;=Calculator!C9),MIN(Calculator!C8,MAX(0,B235-C235+F235)),0))</f>
        <v>0</v>
      </c>
      <c r="E235" s="23">
        <f t="shared" si="15"/>
        <v>7067.7919727509352</v>
      </c>
      <c r="F235" s="23">
        <f>IF(A235="","",IF(Calculator!C12="Beginning of Period",MAX(0,(B235-IF(J235="IO",Calculator!C22,Calculator!C21))*Calculator!C17),B235*Calculator!C17))</f>
        <v>2551.5218820384011</v>
      </c>
      <c r="G235" s="23">
        <f t="shared" si="16"/>
        <v>4516.2700907125345</v>
      </c>
      <c r="H235" s="23">
        <f t="shared" si="17"/>
        <v>432887.48111586872</v>
      </c>
      <c r="I235" s="23">
        <f t="shared" si="19"/>
        <v>1016072.8830120787</v>
      </c>
      <c r="J235" s="24" t="str">
        <f>IF(A235="","",IF(A235&lt;=Calculator!C19,"IO","P&amp;I"))</f>
        <v>P&amp;I</v>
      </c>
    </row>
    <row r="236" spans="1:10" ht="15.75" customHeight="1" x14ac:dyDescent="0.25">
      <c r="A236" s="19">
        <f>IF(225&lt;=Calculator!C18,225,"")</f>
        <v>225</v>
      </c>
      <c r="B236" s="20">
        <f t="shared" si="18"/>
        <v>432887.48111586872</v>
      </c>
      <c r="C236" s="20">
        <f>IF(A236="","",IF(J236="IO",Calculator!C22,IF(B236&gt;0,MIN(Calculator!C21,B236*(1+Calculator!C17)),0)))</f>
        <v>7067.7919727509352</v>
      </c>
      <c r="D236" s="20">
        <f>IF(A236="","",IF(AND(J236="P&amp;I",A236&gt;=Calculator!C9),MIN(Calculator!C8,MAX(0,B236-C236+F236)),0))</f>
        <v>0</v>
      </c>
      <c r="E236" s="20">
        <f t="shared" si="15"/>
        <v>7067.7919727509352</v>
      </c>
      <c r="F236" s="20">
        <f>IF(A236="","",IF(Calculator!C12="Beginning of Period",MAX(0,(B236-IF(J236="IO",Calculator!C22,Calculator!C21))*Calculator!C17),B236*Calculator!C17))</f>
        <v>2525.1769731759109</v>
      </c>
      <c r="G236" s="20">
        <f t="shared" si="16"/>
        <v>4542.6149995750238</v>
      </c>
      <c r="H236" s="20">
        <f t="shared" si="17"/>
        <v>428344.86611629371</v>
      </c>
      <c r="I236" s="20">
        <f t="shared" si="19"/>
        <v>1018598.0599852547</v>
      </c>
      <c r="J236" s="21" t="str">
        <f>IF(A236="","",IF(A236&lt;=Calculator!C19,"IO","P&amp;I"))</f>
        <v>P&amp;I</v>
      </c>
    </row>
    <row r="237" spans="1:10" ht="15.75" customHeight="1" x14ac:dyDescent="0.25">
      <c r="A237" s="22">
        <f>IF(226&lt;=Calculator!C18,226,"")</f>
        <v>226</v>
      </c>
      <c r="B237" s="23">
        <f t="shared" si="18"/>
        <v>428344.86611629371</v>
      </c>
      <c r="C237" s="23">
        <f>IF(A237="","",IF(J237="IO",Calculator!C22,IF(B237&gt;0,MIN(Calculator!C21,B237*(1+Calculator!C17)),0)))</f>
        <v>7067.7919727509352</v>
      </c>
      <c r="D237" s="23">
        <f>IF(A237="","",IF(AND(J237="P&amp;I",A237&gt;=Calculator!C9),MIN(Calculator!C8,MAX(0,B237-C237+F237)),0))</f>
        <v>0</v>
      </c>
      <c r="E237" s="23">
        <f t="shared" si="15"/>
        <v>7067.7919727509352</v>
      </c>
      <c r="F237" s="23">
        <f>IF(A237="","",IF(Calculator!C12="Beginning of Period",MAX(0,(B237-IF(J237="IO",Calculator!C22,Calculator!C21))*Calculator!C17),B237*Calculator!C17))</f>
        <v>2498.67838567839</v>
      </c>
      <c r="G237" s="23">
        <f t="shared" si="16"/>
        <v>4569.1135870725448</v>
      </c>
      <c r="H237" s="23">
        <f t="shared" si="17"/>
        <v>423775.75252922118</v>
      </c>
      <c r="I237" s="23">
        <f t="shared" si="19"/>
        <v>1021096.7383709331</v>
      </c>
      <c r="J237" s="24" t="str">
        <f>IF(A237="","",IF(A237&lt;=Calculator!C19,"IO","P&amp;I"))</f>
        <v>P&amp;I</v>
      </c>
    </row>
    <row r="238" spans="1:10" ht="15.75" customHeight="1" x14ac:dyDescent="0.25">
      <c r="A238" s="19">
        <f>IF(227&lt;=Calculator!C18,227,"")</f>
        <v>227</v>
      </c>
      <c r="B238" s="20">
        <f t="shared" si="18"/>
        <v>423775.75252922118</v>
      </c>
      <c r="C238" s="20">
        <f>IF(A238="","",IF(J238="IO",Calculator!C22,IF(B238&gt;0,MIN(Calculator!C21,B238*(1+Calculator!C17)),0)))</f>
        <v>7067.7919727509352</v>
      </c>
      <c r="D238" s="20">
        <f>IF(A238="","",IF(AND(J238="P&amp;I",A238&gt;=Calculator!C9),MIN(Calculator!C8,MAX(0,B238-C238+F238)),0))</f>
        <v>0</v>
      </c>
      <c r="E238" s="20">
        <f t="shared" si="15"/>
        <v>7067.7919727509352</v>
      </c>
      <c r="F238" s="20">
        <f>IF(A238="","",IF(Calculator!C12="Beginning of Period",MAX(0,(B238-IF(J238="IO",Calculator!C22,Calculator!C21))*Calculator!C17),B238*Calculator!C17))</f>
        <v>2472.0252230871338</v>
      </c>
      <c r="G238" s="20">
        <f t="shared" si="16"/>
        <v>4595.7667496638014</v>
      </c>
      <c r="H238" s="20">
        <f t="shared" si="17"/>
        <v>419179.98577955738</v>
      </c>
      <c r="I238" s="20">
        <f t="shared" si="19"/>
        <v>1023568.7635940203</v>
      </c>
      <c r="J238" s="21" t="str">
        <f>IF(A238="","",IF(A238&lt;=Calculator!C19,"IO","P&amp;I"))</f>
        <v>P&amp;I</v>
      </c>
    </row>
    <row r="239" spans="1:10" ht="15.75" customHeight="1" x14ac:dyDescent="0.25">
      <c r="A239" s="22">
        <f>IF(228&lt;=Calculator!C18,228,"")</f>
        <v>228</v>
      </c>
      <c r="B239" s="23">
        <f t="shared" si="18"/>
        <v>419179.98577955738</v>
      </c>
      <c r="C239" s="23">
        <f>IF(A239="","",IF(J239="IO",Calculator!C22,IF(B239&gt;0,MIN(Calculator!C21,B239*(1+Calculator!C17)),0)))</f>
        <v>7067.7919727509352</v>
      </c>
      <c r="D239" s="23">
        <f>IF(A239="","",IF(AND(J239="P&amp;I",A239&gt;=Calculator!C9),MIN(Calculator!C8,MAX(0,B239-C239+F239)),0))</f>
        <v>0</v>
      </c>
      <c r="E239" s="23">
        <f t="shared" si="15"/>
        <v>7067.7919727509352</v>
      </c>
      <c r="F239" s="23">
        <f>IF(A239="","",IF(Calculator!C12="Beginning of Period",MAX(0,(B239-IF(J239="IO",Calculator!C22,Calculator!C21))*Calculator!C17),B239*Calculator!C17))</f>
        <v>2445.2165837140947</v>
      </c>
      <c r="G239" s="23">
        <f t="shared" si="16"/>
        <v>4622.5753890368405</v>
      </c>
      <c r="H239" s="23">
        <f t="shared" si="17"/>
        <v>414557.41039052053</v>
      </c>
      <c r="I239" s="23">
        <f t="shared" si="19"/>
        <v>1026013.9801777344</v>
      </c>
      <c r="J239" s="24" t="str">
        <f>IF(A239="","",IF(A239&lt;=Calculator!C19,"IO","P&amp;I"))</f>
        <v>P&amp;I</v>
      </c>
    </row>
    <row r="240" spans="1:10" ht="15.75" customHeight="1" x14ac:dyDescent="0.25">
      <c r="A240" s="19">
        <f>IF(229&lt;=Calculator!C18,229,"")</f>
        <v>229</v>
      </c>
      <c r="B240" s="20">
        <f t="shared" si="18"/>
        <v>414557.41039052053</v>
      </c>
      <c r="C240" s="20">
        <f>IF(A240="","",IF(J240="IO",Calculator!C22,IF(B240&gt;0,MIN(Calculator!C21,B240*(1+Calculator!C17)),0)))</f>
        <v>7067.7919727509352</v>
      </c>
      <c r="D240" s="20">
        <f>IF(A240="","",IF(AND(J240="P&amp;I",A240&gt;=Calculator!C9),MIN(Calculator!C8,MAX(0,B240-C240+F240)),0))</f>
        <v>0</v>
      </c>
      <c r="E240" s="20">
        <f t="shared" si="15"/>
        <v>7067.7919727509352</v>
      </c>
      <c r="F240" s="20">
        <f>IF(A240="","",IF(Calculator!C12="Beginning of Period",MAX(0,(B240-IF(J240="IO",Calculator!C22,Calculator!C21))*Calculator!C17),B240*Calculator!C17))</f>
        <v>2418.2515606113798</v>
      </c>
      <c r="G240" s="20">
        <f t="shared" si="16"/>
        <v>4649.540412139555</v>
      </c>
      <c r="H240" s="20">
        <f t="shared" si="17"/>
        <v>409907.86997838097</v>
      </c>
      <c r="I240" s="20">
        <f t="shared" si="19"/>
        <v>1028432.2317383458</v>
      </c>
      <c r="J240" s="21" t="str">
        <f>IF(A240="","",IF(A240&lt;=Calculator!C19,"IO","P&amp;I"))</f>
        <v>P&amp;I</v>
      </c>
    </row>
    <row r="241" spans="1:10" ht="15.75" customHeight="1" x14ac:dyDescent="0.25">
      <c r="A241" s="22">
        <f>IF(230&lt;=Calculator!C18,230,"")</f>
        <v>230</v>
      </c>
      <c r="B241" s="23">
        <f t="shared" si="18"/>
        <v>409907.86997838097</v>
      </c>
      <c r="C241" s="23">
        <f>IF(A241="","",IF(J241="IO",Calculator!C22,IF(B241&gt;0,MIN(Calculator!C21,B241*(1+Calculator!C17)),0)))</f>
        <v>7067.7919727509352</v>
      </c>
      <c r="D241" s="23">
        <f>IF(A241="","",IF(AND(J241="P&amp;I",A241&gt;=Calculator!C9),MIN(Calculator!C8,MAX(0,B241-C241+F241)),0))</f>
        <v>0</v>
      </c>
      <c r="E241" s="23">
        <f t="shared" si="15"/>
        <v>7067.7919727509352</v>
      </c>
      <c r="F241" s="23">
        <f>IF(A241="","",IF(Calculator!C12="Beginning of Period",MAX(0,(B241-IF(J241="IO",Calculator!C22,Calculator!C21))*Calculator!C17),B241*Calculator!C17))</f>
        <v>2391.1292415405655</v>
      </c>
      <c r="G241" s="23">
        <f t="shared" si="16"/>
        <v>4676.6627312103701</v>
      </c>
      <c r="H241" s="23">
        <f t="shared" si="17"/>
        <v>405231.20724717062</v>
      </c>
      <c r="I241" s="23">
        <f t="shared" si="19"/>
        <v>1030823.3609798864</v>
      </c>
      <c r="J241" s="24" t="str">
        <f>IF(A241="","",IF(A241&lt;=Calculator!C19,"IO","P&amp;I"))</f>
        <v>P&amp;I</v>
      </c>
    </row>
    <row r="242" spans="1:10" ht="15.75" customHeight="1" x14ac:dyDescent="0.25">
      <c r="A242" s="19">
        <f>IF(231&lt;=Calculator!C18,231,"")</f>
        <v>231</v>
      </c>
      <c r="B242" s="20">
        <f t="shared" si="18"/>
        <v>405231.20724717062</v>
      </c>
      <c r="C242" s="20">
        <f>IF(A242="","",IF(J242="IO",Calculator!C22,IF(B242&gt;0,MIN(Calculator!C21,B242*(1+Calculator!C17)),0)))</f>
        <v>7067.7919727509352</v>
      </c>
      <c r="D242" s="20">
        <f>IF(A242="","",IF(AND(J242="P&amp;I",A242&gt;=Calculator!C9),MIN(Calculator!C8,MAX(0,B242-C242+F242)),0))</f>
        <v>0</v>
      </c>
      <c r="E242" s="20">
        <f t="shared" si="15"/>
        <v>7067.7919727509352</v>
      </c>
      <c r="F242" s="20">
        <f>IF(A242="","",IF(Calculator!C12="Beginning of Period",MAX(0,(B242-IF(J242="IO",Calculator!C22,Calculator!C21))*Calculator!C17),B242*Calculator!C17))</f>
        <v>2363.8487089418381</v>
      </c>
      <c r="G242" s="20">
        <f t="shared" si="16"/>
        <v>4703.9432638090966</v>
      </c>
      <c r="H242" s="20">
        <f t="shared" si="17"/>
        <v>400527.26398336154</v>
      </c>
      <c r="I242" s="20">
        <f t="shared" si="19"/>
        <v>1033187.2096888282</v>
      </c>
      <c r="J242" s="21" t="str">
        <f>IF(A242="","",IF(A242&lt;=Calculator!C19,"IO","P&amp;I"))</f>
        <v>P&amp;I</v>
      </c>
    </row>
    <row r="243" spans="1:10" ht="15.75" customHeight="1" x14ac:dyDescent="0.25">
      <c r="A243" s="22">
        <f>IF(232&lt;=Calculator!C18,232,"")</f>
        <v>232</v>
      </c>
      <c r="B243" s="23">
        <f t="shared" si="18"/>
        <v>400527.26398336154</v>
      </c>
      <c r="C243" s="23">
        <f>IF(A243="","",IF(J243="IO",Calculator!C22,IF(B243&gt;0,MIN(Calculator!C21,B243*(1+Calculator!C17)),0)))</f>
        <v>7067.7919727509352</v>
      </c>
      <c r="D243" s="23">
        <f>IF(A243="","",IF(AND(J243="P&amp;I",A243&gt;=Calculator!C9),MIN(Calculator!C8,MAX(0,B243-C243+F243)),0))</f>
        <v>0</v>
      </c>
      <c r="E243" s="23">
        <f t="shared" si="15"/>
        <v>7067.7919727509352</v>
      </c>
      <c r="F243" s="23">
        <f>IF(A243="","",IF(Calculator!C12="Beginning of Period",MAX(0,(B243-IF(J243="IO",Calculator!C22,Calculator!C21))*Calculator!C17),B243*Calculator!C17))</f>
        <v>2336.4090399029519</v>
      </c>
      <c r="G243" s="23">
        <f t="shared" si="16"/>
        <v>4731.3829328479833</v>
      </c>
      <c r="H243" s="23">
        <f t="shared" si="17"/>
        <v>395795.88105051353</v>
      </c>
      <c r="I243" s="23">
        <f t="shared" si="19"/>
        <v>1035523.6187287312</v>
      </c>
      <c r="J243" s="24" t="str">
        <f>IF(A243="","",IF(A243&lt;=Calculator!C19,"IO","P&amp;I"))</f>
        <v>P&amp;I</v>
      </c>
    </row>
    <row r="244" spans="1:10" ht="15.75" customHeight="1" x14ac:dyDescent="0.25">
      <c r="A244" s="19">
        <f>IF(233&lt;=Calculator!C18,233,"")</f>
        <v>233</v>
      </c>
      <c r="B244" s="20">
        <f t="shared" si="18"/>
        <v>395795.88105051353</v>
      </c>
      <c r="C244" s="20">
        <f>IF(A244="","",IF(J244="IO",Calculator!C22,IF(B244&gt;0,MIN(Calculator!C21,B244*(1+Calculator!C17)),0)))</f>
        <v>7067.7919727509352</v>
      </c>
      <c r="D244" s="20">
        <f>IF(A244="","",IF(AND(J244="P&amp;I",A244&gt;=Calculator!C9),MIN(Calculator!C8,MAX(0,B244-C244+F244)),0))</f>
        <v>0</v>
      </c>
      <c r="E244" s="20">
        <f t="shared" si="15"/>
        <v>7067.7919727509352</v>
      </c>
      <c r="F244" s="20">
        <f>IF(A244="","",IF(Calculator!C12="Beginning of Period",MAX(0,(B244-IF(J244="IO",Calculator!C22,Calculator!C21))*Calculator!C17),B244*Calculator!C17))</f>
        <v>2308.8093061280051</v>
      </c>
      <c r="G244" s="20">
        <f t="shared" si="16"/>
        <v>4758.9826666229301</v>
      </c>
      <c r="H244" s="20">
        <f t="shared" si="17"/>
        <v>391036.89838389063</v>
      </c>
      <c r="I244" s="20">
        <f t="shared" si="19"/>
        <v>1037832.4280348591</v>
      </c>
      <c r="J244" s="21" t="str">
        <f>IF(A244="","",IF(A244&lt;=Calculator!C19,"IO","P&amp;I"))</f>
        <v>P&amp;I</v>
      </c>
    </row>
    <row r="245" spans="1:10" ht="15.75" customHeight="1" x14ac:dyDescent="0.25">
      <c r="A245" s="22">
        <f>IF(234&lt;=Calculator!C18,234,"")</f>
        <v>234</v>
      </c>
      <c r="B245" s="23">
        <f t="shared" si="18"/>
        <v>391036.89838389063</v>
      </c>
      <c r="C245" s="23">
        <f>IF(A245="","",IF(J245="IO",Calculator!C22,IF(B245&gt;0,MIN(Calculator!C21,B245*(1+Calculator!C17)),0)))</f>
        <v>7067.7919727509352</v>
      </c>
      <c r="D245" s="23">
        <f>IF(A245="","",IF(AND(J245="P&amp;I",A245&gt;=Calculator!C9),MIN(Calculator!C8,MAX(0,B245-C245+F245)),0))</f>
        <v>0</v>
      </c>
      <c r="E245" s="23">
        <f t="shared" si="15"/>
        <v>7067.7919727509352</v>
      </c>
      <c r="F245" s="23">
        <f>IF(A245="","",IF(Calculator!C12="Beginning of Period",MAX(0,(B245-IF(J245="IO",Calculator!C22,Calculator!C21))*Calculator!C17),B245*Calculator!C17))</f>
        <v>2281.0485739060377</v>
      </c>
      <c r="G245" s="23">
        <f t="shared" si="16"/>
        <v>4786.7433988448975</v>
      </c>
      <c r="H245" s="23">
        <f t="shared" si="17"/>
        <v>386250.15498504572</v>
      </c>
      <c r="I245" s="23">
        <f t="shared" si="19"/>
        <v>1040113.4766087652</v>
      </c>
      <c r="J245" s="24" t="str">
        <f>IF(A245="","",IF(A245&lt;=Calculator!C19,"IO","P&amp;I"))</f>
        <v>P&amp;I</v>
      </c>
    </row>
    <row r="246" spans="1:10" ht="15.75" customHeight="1" x14ac:dyDescent="0.25">
      <c r="A246" s="19">
        <f>IF(235&lt;=Calculator!C18,235,"")</f>
        <v>235</v>
      </c>
      <c r="B246" s="20">
        <f t="shared" si="18"/>
        <v>386250.15498504572</v>
      </c>
      <c r="C246" s="20">
        <f>IF(A246="","",IF(J246="IO",Calculator!C22,IF(B246&gt;0,MIN(Calculator!C21,B246*(1+Calculator!C17)),0)))</f>
        <v>7067.7919727509352</v>
      </c>
      <c r="D246" s="20">
        <f>IF(A246="","",IF(AND(J246="P&amp;I",A246&gt;=Calculator!C9),MIN(Calculator!C8,MAX(0,B246-C246+F246)),0))</f>
        <v>0</v>
      </c>
      <c r="E246" s="20">
        <f t="shared" si="15"/>
        <v>7067.7919727509352</v>
      </c>
      <c r="F246" s="20">
        <f>IF(A246="","",IF(Calculator!C12="Beginning of Period",MAX(0,(B246-IF(J246="IO",Calculator!C22,Calculator!C21))*Calculator!C17),B246*Calculator!C17))</f>
        <v>2253.1259040794425</v>
      </c>
      <c r="G246" s="20">
        <f t="shared" si="16"/>
        <v>4814.6660686714931</v>
      </c>
      <c r="H246" s="20">
        <f t="shared" si="17"/>
        <v>381435.48891637422</v>
      </c>
      <c r="I246" s="20">
        <f t="shared" si="19"/>
        <v>1042366.6025128446</v>
      </c>
      <c r="J246" s="21" t="str">
        <f>IF(A246="","",IF(A246&lt;=Calculator!C19,"IO","P&amp;I"))</f>
        <v>P&amp;I</v>
      </c>
    </row>
    <row r="247" spans="1:10" ht="15.75" customHeight="1" x14ac:dyDescent="0.25">
      <c r="A247" s="22">
        <f>IF(236&lt;=Calculator!C18,236,"")</f>
        <v>236</v>
      </c>
      <c r="B247" s="23">
        <f t="shared" si="18"/>
        <v>381435.48891637422</v>
      </c>
      <c r="C247" s="23">
        <f>IF(A247="","",IF(J247="IO",Calculator!C22,IF(B247&gt;0,MIN(Calculator!C21,B247*(1+Calculator!C17)),0)))</f>
        <v>7067.7919727509352</v>
      </c>
      <c r="D247" s="23">
        <f>IF(A247="","",IF(AND(J247="P&amp;I",A247&gt;=Calculator!C9),MIN(Calculator!C8,MAX(0,B247-C247+F247)),0))</f>
        <v>0</v>
      </c>
      <c r="E247" s="23">
        <f t="shared" si="15"/>
        <v>7067.7919727509352</v>
      </c>
      <c r="F247" s="23">
        <f>IF(A247="","",IF(Calculator!C12="Beginning of Period",MAX(0,(B247-IF(J247="IO",Calculator!C22,Calculator!C21))*Calculator!C17),B247*Calculator!C17))</f>
        <v>2225.0403520121918</v>
      </c>
      <c r="G247" s="23">
        <f t="shared" si="16"/>
        <v>4842.7516207387434</v>
      </c>
      <c r="H247" s="23">
        <f t="shared" si="17"/>
        <v>376592.73729563545</v>
      </c>
      <c r="I247" s="23">
        <f t="shared" si="19"/>
        <v>1044591.6428648568</v>
      </c>
      <c r="J247" s="24" t="str">
        <f>IF(A247="","",IF(A247&lt;=Calculator!C19,"IO","P&amp;I"))</f>
        <v>P&amp;I</v>
      </c>
    </row>
    <row r="248" spans="1:10" ht="15.75" customHeight="1" x14ac:dyDescent="0.25">
      <c r="A248" s="19">
        <f>IF(237&lt;=Calculator!C18,237,"")</f>
        <v>237</v>
      </c>
      <c r="B248" s="20">
        <f t="shared" si="18"/>
        <v>376592.73729563545</v>
      </c>
      <c r="C248" s="20">
        <f>IF(A248="","",IF(J248="IO",Calculator!C22,IF(B248&gt;0,MIN(Calculator!C21,B248*(1+Calculator!C17)),0)))</f>
        <v>7067.7919727509352</v>
      </c>
      <c r="D248" s="20">
        <f>IF(A248="","",IF(AND(J248="P&amp;I",A248&gt;=Calculator!C9),MIN(Calculator!C8,MAX(0,B248-C248+F248)),0))</f>
        <v>0</v>
      </c>
      <c r="E248" s="20">
        <f t="shared" si="15"/>
        <v>7067.7919727509352</v>
      </c>
      <c r="F248" s="20">
        <f>IF(A248="","",IF(Calculator!C12="Beginning of Period",MAX(0,(B248-IF(J248="IO",Calculator!C22,Calculator!C21))*Calculator!C17),B248*Calculator!C17))</f>
        <v>2196.7909675578826</v>
      </c>
      <c r="G248" s="20">
        <f t="shared" si="16"/>
        <v>4871.0010051930531</v>
      </c>
      <c r="H248" s="20">
        <f t="shared" si="17"/>
        <v>371721.73629044241</v>
      </c>
      <c r="I248" s="20">
        <f t="shared" si="19"/>
        <v>1046788.4338324147</v>
      </c>
      <c r="J248" s="21" t="str">
        <f>IF(A248="","",IF(A248&lt;=Calculator!C19,"IO","P&amp;I"))</f>
        <v>P&amp;I</v>
      </c>
    </row>
    <row r="249" spans="1:10" ht="15.75" customHeight="1" x14ac:dyDescent="0.25">
      <c r="A249" s="22">
        <f>IF(238&lt;=Calculator!C18,238,"")</f>
        <v>238</v>
      </c>
      <c r="B249" s="23">
        <f t="shared" si="18"/>
        <v>371721.73629044241</v>
      </c>
      <c r="C249" s="23">
        <f>IF(A249="","",IF(J249="IO",Calculator!C22,IF(B249&gt;0,MIN(Calculator!C21,B249*(1+Calculator!C17)),0)))</f>
        <v>7067.7919727509352</v>
      </c>
      <c r="D249" s="23">
        <f>IF(A249="","",IF(AND(J249="P&amp;I",A249&gt;=Calculator!C9),MIN(Calculator!C8,MAX(0,B249-C249+F249)),0))</f>
        <v>0</v>
      </c>
      <c r="E249" s="23">
        <f t="shared" si="15"/>
        <v>7067.7919727509352</v>
      </c>
      <c r="F249" s="23">
        <f>IF(A249="","",IF(Calculator!C12="Beginning of Period",MAX(0,(B249-IF(J249="IO",Calculator!C22,Calculator!C21))*Calculator!C17),B249*Calculator!C17))</f>
        <v>2168.3767950275897</v>
      </c>
      <c r="G249" s="23">
        <f t="shared" si="16"/>
        <v>4899.4151777233456</v>
      </c>
      <c r="H249" s="23">
        <f t="shared" si="17"/>
        <v>366822.32111271907</v>
      </c>
      <c r="I249" s="23">
        <f t="shared" si="19"/>
        <v>1048956.8106274423</v>
      </c>
      <c r="J249" s="24" t="str">
        <f>IF(A249="","",IF(A249&lt;=Calculator!C19,"IO","P&amp;I"))</f>
        <v>P&amp;I</v>
      </c>
    </row>
    <row r="250" spans="1:10" ht="15.75" customHeight="1" x14ac:dyDescent="0.25">
      <c r="A250" s="19">
        <f>IF(239&lt;=Calculator!C18,239,"")</f>
        <v>239</v>
      </c>
      <c r="B250" s="20">
        <f t="shared" si="18"/>
        <v>366822.32111271907</v>
      </c>
      <c r="C250" s="20">
        <f>IF(A250="","",IF(J250="IO",Calculator!C22,IF(B250&gt;0,MIN(Calculator!C21,B250*(1+Calculator!C17)),0)))</f>
        <v>7067.7919727509352</v>
      </c>
      <c r="D250" s="20">
        <f>IF(A250="","",IF(AND(J250="P&amp;I",A250&gt;=Calculator!C9),MIN(Calculator!C8,MAX(0,B250-C250+F250)),0))</f>
        <v>0</v>
      </c>
      <c r="E250" s="20">
        <f t="shared" si="15"/>
        <v>7067.7919727509352</v>
      </c>
      <c r="F250" s="20">
        <f>IF(A250="","",IF(Calculator!C12="Beginning of Period",MAX(0,(B250-IF(J250="IO",Calculator!C22,Calculator!C21))*Calculator!C17),B250*Calculator!C17))</f>
        <v>2139.7968731575365</v>
      </c>
      <c r="G250" s="20">
        <f t="shared" si="16"/>
        <v>4927.9950995933987</v>
      </c>
      <c r="H250" s="20">
        <f t="shared" si="17"/>
        <v>361894.32601312565</v>
      </c>
      <c r="I250" s="20">
        <f t="shared" si="19"/>
        <v>1051096.6075005999</v>
      </c>
      <c r="J250" s="21" t="str">
        <f>IF(A250="","",IF(A250&lt;=Calculator!C19,"IO","P&amp;I"))</f>
        <v>P&amp;I</v>
      </c>
    </row>
    <row r="251" spans="1:10" ht="15.75" customHeight="1" x14ac:dyDescent="0.25">
      <c r="A251" s="22">
        <f>IF(240&lt;=Calculator!C18,240,"")</f>
        <v>240</v>
      </c>
      <c r="B251" s="23">
        <f t="shared" si="18"/>
        <v>361894.32601312565</v>
      </c>
      <c r="C251" s="23">
        <f>IF(A251="","",IF(J251="IO",Calculator!C22,IF(B251&gt;0,MIN(Calculator!C21,B251*(1+Calculator!C17)),0)))</f>
        <v>7067.7919727509352</v>
      </c>
      <c r="D251" s="23">
        <f>IF(A251="","",IF(AND(J251="P&amp;I",A251&gt;=Calculator!C9),MIN(Calculator!C8,MAX(0,B251-C251+F251)),0))</f>
        <v>0</v>
      </c>
      <c r="E251" s="23">
        <f t="shared" si="15"/>
        <v>7067.7919727509352</v>
      </c>
      <c r="F251" s="23">
        <f>IF(A251="","",IF(Calculator!C12="Beginning of Period",MAX(0,(B251-IF(J251="IO",Calculator!C22,Calculator!C21))*Calculator!C17),B251*Calculator!C17))</f>
        <v>2111.0502350765751</v>
      </c>
      <c r="G251" s="23">
        <f t="shared" si="16"/>
        <v>4956.7417376743597</v>
      </c>
      <c r="H251" s="23">
        <f t="shared" si="17"/>
        <v>356937.58427545131</v>
      </c>
      <c r="I251" s="23">
        <f t="shared" si="19"/>
        <v>1053207.6577356765</v>
      </c>
      <c r="J251" s="24" t="str">
        <f>IF(A251="","",IF(A251&lt;=Calculator!C19,"IO","P&amp;I"))</f>
        <v>P&amp;I</v>
      </c>
    </row>
    <row r="252" spans="1:10" ht="15.75" customHeight="1" x14ac:dyDescent="0.25">
      <c r="A252" s="19">
        <f>IF(241&lt;=Calculator!C18,241,"")</f>
        <v>241</v>
      </c>
      <c r="B252" s="20">
        <f t="shared" si="18"/>
        <v>356937.58427545131</v>
      </c>
      <c r="C252" s="20">
        <f>IF(A252="","",IF(J252="IO",Calculator!C22,IF(B252&gt;0,MIN(Calculator!C21,B252*(1+Calculator!C17)),0)))</f>
        <v>7067.7919727509352</v>
      </c>
      <c r="D252" s="20">
        <f>IF(A252="","",IF(AND(J252="P&amp;I",A252&gt;=Calculator!C9),MIN(Calculator!C8,MAX(0,B252-C252+F252)),0))</f>
        <v>0</v>
      </c>
      <c r="E252" s="20">
        <f t="shared" si="15"/>
        <v>7067.7919727509352</v>
      </c>
      <c r="F252" s="20">
        <f>IF(A252="","",IF(Calculator!C12="Beginning of Period",MAX(0,(B252-IF(J252="IO",Calculator!C22,Calculator!C21))*Calculator!C17),B252*Calculator!C17))</f>
        <v>2082.1359082734743</v>
      </c>
      <c r="G252" s="20">
        <f t="shared" si="16"/>
        <v>4985.6560644774609</v>
      </c>
      <c r="H252" s="20">
        <f t="shared" si="17"/>
        <v>351951.92821097386</v>
      </c>
      <c r="I252" s="20">
        <f t="shared" si="19"/>
        <v>1055289.79364395</v>
      </c>
      <c r="J252" s="21" t="str">
        <f>IF(A252="","",IF(A252&lt;=Calculator!C19,"IO","P&amp;I"))</f>
        <v>P&amp;I</v>
      </c>
    </row>
    <row r="253" spans="1:10" ht="15.75" customHeight="1" x14ac:dyDescent="0.25">
      <c r="A253" s="22">
        <f>IF(242&lt;=Calculator!C18,242,"")</f>
        <v>242</v>
      </c>
      <c r="B253" s="23">
        <f t="shared" si="18"/>
        <v>351951.92821097386</v>
      </c>
      <c r="C253" s="23">
        <f>IF(A253="","",IF(J253="IO",Calculator!C22,IF(B253&gt;0,MIN(Calculator!C21,B253*(1+Calculator!C17)),0)))</f>
        <v>7067.7919727509352</v>
      </c>
      <c r="D253" s="23">
        <f>IF(A253="","",IF(AND(J253="P&amp;I",A253&gt;=Calculator!C9),MIN(Calculator!C8,MAX(0,B253-C253+F253)),0))</f>
        <v>0</v>
      </c>
      <c r="E253" s="23">
        <f t="shared" si="15"/>
        <v>7067.7919727509352</v>
      </c>
      <c r="F253" s="23">
        <f>IF(A253="","",IF(Calculator!C12="Beginning of Period",MAX(0,(B253-IF(J253="IO",Calculator!C22,Calculator!C21))*Calculator!C17),B253*Calculator!C17))</f>
        <v>2053.0529145640226</v>
      </c>
      <c r="G253" s="23">
        <f t="shared" si="16"/>
        <v>5014.7390581869131</v>
      </c>
      <c r="H253" s="23">
        <f t="shared" si="17"/>
        <v>346937.18915278692</v>
      </c>
      <c r="I253" s="23">
        <f t="shared" si="19"/>
        <v>1057342.8465585141</v>
      </c>
      <c r="J253" s="24" t="str">
        <f>IF(A253="","",IF(A253&lt;=Calculator!C19,"IO","P&amp;I"))</f>
        <v>P&amp;I</v>
      </c>
    </row>
    <row r="254" spans="1:10" ht="15.75" customHeight="1" x14ac:dyDescent="0.25">
      <c r="A254" s="19">
        <f>IF(243&lt;=Calculator!C18,243,"")</f>
        <v>243</v>
      </c>
      <c r="B254" s="20">
        <f t="shared" si="18"/>
        <v>346937.18915278692</v>
      </c>
      <c r="C254" s="20">
        <f>IF(A254="","",IF(J254="IO",Calculator!C22,IF(B254&gt;0,MIN(Calculator!C21,B254*(1+Calculator!C17)),0)))</f>
        <v>7067.7919727509352</v>
      </c>
      <c r="D254" s="20">
        <f>IF(A254="","",IF(AND(J254="P&amp;I",A254&gt;=Calculator!C9),MIN(Calculator!C8,MAX(0,B254-C254+F254)),0))</f>
        <v>0</v>
      </c>
      <c r="E254" s="20">
        <f t="shared" si="15"/>
        <v>7067.7919727509352</v>
      </c>
      <c r="F254" s="20">
        <f>IF(A254="","",IF(Calculator!C12="Beginning of Period",MAX(0,(B254-IF(J254="IO",Calculator!C22,Calculator!C21))*Calculator!C17),B254*Calculator!C17))</f>
        <v>2023.8002700579318</v>
      </c>
      <c r="G254" s="20">
        <f t="shared" si="16"/>
        <v>5043.9917026930034</v>
      </c>
      <c r="H254" s="20">
        <f t="shared" si="17"/>
        <v>341893.19745009392</v>
      </c>
      <c r="I254" s="20">
        <f t="shared" si="19"/>
        <v>1059366.646828572</v>
      </c>
      <c r="J254" s="21" t="str">
        <f>IF(A254="","",IF(A254&lt;=Calculator!C19,"IO","P&amp;I"))</f>
        <v>P&amp;I</v>
      </c>
    </row>
    <row r="255" spans="1:10" ht="15.75" customHeight="1" x14ac:dyDescent="0.25">
      <c r="A255" s="22">
        <f>IF(244&lt;=Calculator!C18,244,"")</f>
        <v>244</v>
      </c>
      <c r="B255" s="23">
        <f t="shared" si="18"/>
        <v>341893.19745009392</v>
      </c>
      <c r="C255" s="23">
        <f>IF(A255="","",IF(J255="IO",Calculator!C22,IF(B255&gt;0,MIN(Calculator!C21,B255*(1+Calculator!C17)),0)))</f>
        <v>7067.7919727509352</v>
      </c>
      <c r="D255" s="23">
        <f>IF(A255="","",IF(AND(J255="P&amp;I",A255&gt;=Calculator!C9),MIN(Calculator!C8,MAX(0,B255-C255+F255)),0))</f>
        <v>0</v>
      </c>
      <c r="E255" s="23">
        <f t="shared" si="15"/>
        <v>7067.7919727509352</v>
      </c>
      <c r="F255" s="23">
        <f>IF(A255="","",IF(Calculator!C12="Beginning of Period",MAX(0,(B255-IF(J255="IO",Calculator!C22,Calculator!C21))*Calculator!C17),B255*Calculator!C17))</f>
        <v>1994.3769851255561</v>
      </c>
      <c r="G255" s="23">
        <f t="shared" si="16"/>
        <v>5073.4149876253796</v>
      </c>
      <c r="H255" s="23">
        <f t="shared" si="17"/>
        <v>336819.78246246855</v>
      </c>
      <c r="I255" s="23">
        <f t="shared" si="19"/>
        <v>1061361.0238136975</v>
      </c>
      <c r="J255" s="24" t="str">
        <f>IF(A255="","",IF(A255&lt;=Calculator!C19,"IO","P&amp;I"))</f>
        <v>P&amp;I</v>
      </c>
    </row>
    <row r="256" spans="1:10" ht="15.75" customHeight="1" x14ac:dyDescent="0.25">
      <c r="A256" s="19">
        <f>IF(245&lt;=Calculator!C18,245,"")</f>
        <v>245</v>
      </c>
      <c r="B256" s="20">
        <f t="shared" si="18"/>
        <v>336819.78246246855</v>
      </c>
      <c r="C256" s="20">
        <f>IF(A256="","",IF(J256="IO",Calculator!C22,IF(B256&gt;0,MIN(Calculator!C21,B256*(1+Calculator!C17)),0)))</f>
        <v>7067.7919727509352</v>
      </c>
      <c r="D256" s="20">
        <f>IF(A256="","",IF(AND(J256="P&amp;I",A256&gt;=Calculator!C9),MIN(Calculator!C8,MAX(0,B256-C256+F256)),0))</f>
        <v>0</v>
      </c>
      <c r="E256" s="20">
        <f t="shared" si="15"/>
        <v>7067.7919727509352</v>
      </c>
      <c r="F256" s="20">
        <f>IF(A256="","",IF(Calculator!C12="Beginning of Period",MAX(0,(B256-IF(J256="IO",Calculator!C22,Calculator!C21))*Calculator!C17),B256*Calculator!C17))</f>
        <v>1964.7820643644079</v>
      </c>
      <c r="G256" s="20">
        <f t="shared" si="16"/>
        <v>5103.0099083865271</v>
      </c>
      <c r="H256" s="20">
        <f t="shared" si="17"/>
        <v>331716.77255408204</v>
      </c>
      <c r="I256" s="20">
        <f t="shared" si="19"/>
        <v>1063325.8058780618</v>
      </c>
      <c r="J256" s="21" t="str">
        <f>IF(A256="","",IF(A256&lt;=Calculator!C19,"IO","P&amp;I"))</f>
        <v>P&amp;I</v>
      </c>
    </row>
    <row r="257" spans="1:10" ht="15.75" customHeight="1" x14ac:dyDescent="0.25">
      <c r="A257" s="22">
        <f>IF(246&lt;=Calculator!C18,246,"")</f>
        <v>246</v>
      </c>
      <c r="B257" s="23">
        <f t="shared" si="18"/>
        <v>331716.77255408204</v>
      </c>
      <c r="C257" s="23">
        <f>IF(A257="","",IF(J257="IO",Calculator!C22,IF(B257&gt;0,MIN(Calculator!C21,B257*(1+Calculator!C17)),0)))</f>
        <v>7067.7919727509352</v>
      </c>
      <c r="D257" s="23">
        <f>IF(A257="","",IF(AND(J257="P&amp;I",A257&gt;=Calculator!C9),MIN(Calculator!C8,MAX(0,B257-C257+F257)),0))</f>
        <v>0</v>
      </c>
      <c r="E257" s="23">
        <f t="shared" si="15"/>
        <v>7067.7919727509352</v>
      </c>
      <c r="F257" s="23">
        <f>IF(A257="","",IF(Calculator!C12="Beginning of Period",MAX(0,(B257-IF(J257="IO",Calculator!C22,Calculator!C21))*Calculator!C17),B257*Calculator!C17))</f>
        <v>1935.0145065654865</v>
      </c>
      <c r="G257" s="23">
        <f t="shared" si="16"/>
        <v>5132.7774661854492</v>
      </c>
      <c r="H257" s="23">
        <f t="shared" si="17"/>
        <v>326583.99508789659</v>
      </c>
      <c r="I257" s="23">
        <f t="shared" si="19"/>
        <v>1065260.8203846272</v>
      </c>
      <c r="J257" s="24" t="str">
        <f>IF(A257="","",IF(A257&lt;=Calculator!C19,"IO","P&amp;I"))</f>
        <v>P&amp;I</v>
      </c>
    </row>
    <row r="258" spans="1:10" ht="15.75" customHeight="1" x14ac:dyDescent="0.25">
      <c r="A258" s="19">
        <f>IF(247&lt;=Calculator!C18,247,"")</f>
        <v>247</v>
      </c>
      <c r="B258" s="20">
        <f t="shared" si="18"/>
        <v>326583.99508789659</v>
      </c>
      <c r="C258" s="20">
        <f>IF(A258="","",IF(J258="IO",Calculator!C22,IF(B258&gt;0,MIN(Calculator!C21,B258*(1+Calculator!C17)),0)))</f>
        <v>7067.7919727509352</v>
      </c>
      <c r="D258" s="20">
        <f>IF(A258="","",IF(AND(J258="P&amp;I",A258&gt;=Calculator!C9),MIN(Calculator!C8,MAX(0,B258-C258+F258)),0))</f>
        <v>0</v>
      </c>
      <c r="E258" s="20">
        <f t="shared" si="15"/>
        <v>7067.7919727509352</v>
      </c>
      <c r="F258" s="20">
        <f>IF(A258="","",IF(Calculator!C12="Beginning of Period",MAX(0,(B258-IF(J258="IO",Calculator!C22,Calculator!C21))*Calculator!C17),B258*Calculator!C17))</f>
        <v>1905.0733046794046</v>
      </c>
      <c r="G258" s="20">
        <f t="shared" si="16"/>
        <v>5162.7186680715304</v>
      </c>
      <c r="H258" s="20">
        <f t="shared" si="17"/>
        <v>321421.27641982504</v>
      </c>
      <c r="I258" s="20">
        <f t="shared" si="19"/>
        <v>1067165.8936893067</v>
      </c>
      <c r="J258" s="21" t="str">
        <f>IF(A258="","",IF(A258&lt;=Calculator!C19,"IO","P&amp;I"))</f>
        <v>P&amp;I</v>
      </c>
    </row>
    <row r="259" spans="1:10" ht="15.75" customHeight="1" x14ac:dyDescent="0.25">
      <c r="A259" s="22">
        <f>IF(248&lt;=Calculator!C18,248,"")</f>
        <v>248</v>
      </c>
      <c r="B259" s="23">
        <f t="shared" si="18"/>
        <v>321421.27641982504</v>
      </c>
      <c r="C259" s="23">
        <f>IF(A259="","",IF(J259="IO",Calculator!C22,IF(B259&gt;0,MIN(Calculator!C21,B259*(1+Calculator!C17)),0)))</f>
        <v>7067.7919727509352</v>
      </c>
      <c r="D259" s="23">
        <f>IF(A259="","",IF(AND(J259="P&amp;I",A259&gt;=Calculator!C9),MIN(Calculator!C8,MAX(0,B259-C259+F259)),0))</f>
        <v>0</v>
      </c>
      <c r="E259" s="23">
        <f t="shared" si="15"/>
        <v>7067.7919727509352</v>
      </c>
      <c r="F259" s="23">
        <f>IF(A259="","",IF(Calculator!C12="Beginning of Period",MAX(0,(B259-IF(J259="IO",Calculator!C22,Calculator!C21))*Calculator!C17),B259*Calculator!C17))</f>
        <v>1874.9574457823203</v>
      </c>
      <c r="G259" s="23">
        <f t="shared" si="16"/>
        <v>5192.8345269686151</v>
      </c>
      <c r="H259" s="23">
        <f t="shared" si="17"/>
        <v>316228.44189285644</v>
      </c>
      <c r="I259" s="23">
        <f t="shared" si="19"/>
        <v>1069040.8511350891</v>
      </c>
      <c r="J259" s="24" t="str">
        <f>IF(A259="","",IF(A259&lt;=Calculator!C19,"IO","P&amp;I"))</f>
        <v>P&amp;I</v>
      </c>
    </row>
    <row r="260" spans="1:10" ht="15.75" customHeight="1" x14ac:dyDescent="0.25">
      <c r="A260" s="19">
        <f>IF(249&lt;=Calculator!C18,249,"")</f>
        <v>249</v>
      </c>
      <c r="B260" s="20">
        <f t="shared" si="18"/>
        <v>316228.44189285644</v>
      </c>
      <c r="C260" s="20">
        <f>IF(A260="","",IF(J260="IO",Calculator!C22,IF(B260&gt;0,MIN(Calculator!C21,B260*(1+Calculator!C17)),0)))</f>
        <v>7067.7919727509352</v>
      </c>
      <c r="D260" s="20">
        <f>IF(A260="","",IF(AND(J260="P&amp;I",A260&gt;=Calculator!C9),MIN(Calculator!C8,MAX(0,B260-C260+F260)),0))</f>
        <v>0</v>
      </c>
      <c r="E260" s="20">
        <f t="shared" si="15"/>
        <v>7067.7919727509352</v>
      </c>
      <c r="F260" s="20">
        <f>IF(A260="","",IF(Calculator!C12="Beginning of Period",MAX(0,(B260-IF(J260="IO",Calculator!C22,Calculator!C21))*Calculator!C17),B260*Calculator!C17))</f>
        <v>1844.6659110416701</v>
      </c>
      <c r="G260" s="20">
        <f t="shared" si="16"/>
        <v>5223.1260617092648</v>
      </c>
      <c r="H260" s="20">
        <f t="shared" si="17"/>
        <v>311005.31583114719</v>
      </c>
      <c r="I260" s="20">
        <f t="shared" si="19"/>
        <v>1070885.5170461307</v>
      </c>
      <c r="J260" s="21" t="str">
        <f>IF(A260="","",IF(A260&lt;=Calculator!C19,"IO","P&amp;I"))</f>
        <v>P&amp;I</v>
      </c>
    </row>
    <row r="261" spans="1:10" ht="15.75" customHeight="1" x14ac:dyDescent="0.25">
      <c r="A261" s="22">
        <f>IF(250&lt;=Calculator!C18,250,"")</f>
        <v>250</v>
      </c>
      <c r="B261" s="23">
        <f t="shared" si="18"/>
        <v>311005.31583114719</v>
      </c>
      <c r="C261" s="23">
        <f>IF(A261="","",IF(J261="IO",Calculator!C22,IF(B261&gt;0,MIN(Calculator!C21,B261*(1+Calculator!C17)),0)))</f>
        <v>7067.7919727509352</v>
      </c>
      <c r="D261" s="23">
        <f>IF(A261="","",IF(AND(J261="P&amp;I",A261&gt;=Calculator!C9),MIN(Calculator!C8,MAX(0,B261-C261+F261)),0))</f>
        <v>0</v>
      </c>
      <c r="E261" s="23">
        <f t="shared" si="15"/>
        <v>7067.7919727509352</v>
      </c>
      <c r="F261" s="23">
        <f>IF(A261="","",IF(Calculator!C12="Beginning of Period",MAX(0,(B261-IF(J261="IO",Calculator!C22,Calculator!C21))*Calculator!C17),B261*Calculator!C17))</f>
        <v>1814.1976756816994</v>
      </c>
      <c r="G261" s="23">
        <f t="shared" si="16"/>
        <v>5253.5942970692358</v>
      </c>
      <c r="H261" s="23">
        <f t="shared" si="17"/>
        <v>305751.72153407795</v>
      </c>
      <c r="I261" s="23">
        <f t="shared" si="19"/>
        <v>1072699.7147218124</v>
      </c>
      <c r="J261" s="24" t="str">
        <f>IF(A261="","",IF(A261&lt;=Calculator!C19,"IO","P&amp;I"))</f>
        <v>P&amp;I</v>
      </c>
    </row>
    <row r="262" spans="1:10" ht="15.75" customHeight="1" x14ac:dyDescent="0.25">
      <c r="A262" s="19">
        <f>IF(251&lt;=Calculator!C18,251,"")</f>
        <v>251</v>
      </c>
      <c r="B262" s="20">
        <f t="shared" si="18"/>
        <v>305751.72153407795</v>
      </c>
      <c r="C262" s="20">
        <f>IF(A262="","",IF(J262="IO",Calculator!C22,IF(B262&gt;0,MIN(Calculator!C21,B262*(1+Calculator!C17)),0)))</f>
        <v>7067.7919727509352</v>
      </c>
      <c r="D262" s="20">
        <f>IF(A262="","",IF(AND(J262="P&amp;I",A262&gt;=Calculator!C9),MIN(Calculator!C8,MAX(0,B262-C262+F262)),0))</f>
        <v>0</v>
      </c>
      <c r="E262" s="20">
        <f t="shared" si="15"/>
        <v>7067.7919727509352</v>
      </c>
      <c r="F262" s="20">
        <f>IF(A262="","",IF(Calculator!C12="Beginning of Period",MAX(0,(B262-IF(J262="IO",Calculator!C22,Calculator!C21))*Calculator!C17),B262*Calculator!C17))</f>
        <v>1783.5517089487953</v>
      </c>
      <c r="G262" s="20">
        <f t="shared" si="16"/>
        <v>5284.2402638021395</v>
      </c>
      <c r="H262" s="20">
        <f t="shared" si="17"/>
        <v>300467.48127027584</v>
      </c>
      <c r="I262" s="20">
        <f t="shared" si="19"/>
        <v>1074483.2664307612</v>
      </c>
      <c r="J262" s="21" t="str">
        <f>IF(A262="","",IF(A262&lt;=Calculator!C19,"IO","P&amp;I"))</f>
        <v>P&amp;I</v>
      </c>
    </row>
    <row r="263" spans="1:10" ht="15.75" customHeight="1" x14ac:dyDescent="0.25">
      <c r="A263" s="22">
        <f>IF(252&lt;=Calculator!C18,252,"")</f>
        <v>252</v>
      </c>
      <c r="B263" s="23">
        <f t="shared" si="18"/>
        <v>300467.48127027584</v>
      </c>
      <c r="C263" s="23">
        <f>IF(A263="","",IF(J263="IO",Calculator!C22,IF(B263&gt;0,MIN(Calculator!C21,B263*(1+Calculator!C17)),0)))</f>
        <v>7067.7919727509352</v>
      </c>
      <c r="D263" s="23">
        <f>IF(A263="","",IF(AND(J263="P&amp;I",A263&gt;=Calculator!C9),MIN(Calculator!C8,MAX(0,B263-C263+F263)),0))</f>
        <v>0</v>
      </c>
      <c r="E263" s="23">
        <f t="shared" si="15"/>
        <v>7067.7919727509352</v>
      </c>
      <c r="F263" s="23">
        <f>IF(A263="","",IF(Calculator!C12="Beginning of Period",MAX(0,(B263-IF(J263="IO",Calculator!C22,Calculator!C21))*Calculator!C17),B263*Calculator!C17))</f>
        <v>1752.7269740766162</v>
      </c>
      <c r="G263" s="23">
        <f t="shared" si="16"/>
        <v>5315.0649986743192</v>
      </c>
      <c r="H263" s="23">
        <f t="shared" si="17"/>
        <v>295152.41627160151</v>
      </c>
      <c r="I263" s="23">
        <f t="shared" si="19"/>
        <v>1076235.9934048378</v>
      </c>
      <c r="J263" s="24" t="str">
        <f>IF(A263="","",IF(A263&lt;=Calculator!C19,"IO","P&amp;I"))</f>
        <v>P&amp;I</v>
      </c>
    </row>
    <row r="264" spans="1:10" ht="15.75" customHeight="1" x14ac:dyDescent="0.25">
      <c r="A264" s="19">
        <f>IF(253&lt;=Calculator!C18,253,"")</f>
        <v>253</v>
      </c>
      <c r="B264" s="20">
        <f t="shared" si="18"/>
        <v>295152.41627160151</v>
      </c>
      <c r="C264" s="20">
        <f>IF(A264="","",IF(J264="IO",Calculator!C22,IF(B264&gt;0,MIN(Calculator!C21,B264*(1+Calculator!C17)),0)))</f>
        <v>7067.7919727509352</v>
      </c>
      <c r="D264" s="20">
        <f>IF(A264="","",IF(AND(J264="P&amp;I",A264&gt;=Calculator!C9),MIN(Calculator!C8,MAX(0,B264-C264+F264)),0))</f>
        <v>0</v>
      </c>
      <c r="E264" s="20">
        <f t="shared" si="15"/>
        <v>7067.7919727509352</v>
      </c>
      <c r="F264" s="20">
        <f>IF(A264="","",IF(Calculator!C12="Beginning of Period",MAX(0,(B264-IF(J264="IO",Calculator!C22,Calculator!C21))*Calculator!C17),B264*Calculator!C17))</f>
        <v>1721.7224282510158</v>
      </c>
      <c r="G264" s="20">
        <f t="shared" si="16"/>
        <v>5346.0695444999192</v>
      </c>
      <c r="H264" s="20">
        <f t="shared" si="17"/>
        <v>289806.3467271016</v>
      </c>
      <c r="I264" s="20">
        <f t="shared" si="19"/>
        <v>1077957.7158330888</v>
      </c>
      <c r="J264" s="21" t="str">
        <f>IF(A264="","",IF(A264&lt;=Calculator!C19,"IO","P&amp;I"))</f>
        <v>P&amp;I</v>
      </c>
    </row>
    <row r="265" spans="1:10" ht="15.75" customHeight="1" x14ac:dyDescent="0.25">
      <c r="A265" s="22">
        <f>IF(254&lt;=Calculator!C18,254,"")</f>
        <v>254</v>
      </c>
      <c r="B265" s="23">
        <f t="shared" si="18"/>
        <v>289806.3467271016</v>
      </c>
      <c r="C265" s="23">
        <f>IF(A265="","",IF(J265="IO",Calculator!C22,IF(B265&gt;0,MIN(Calculator!C21,B265*(1+Calculator!C17)),0)))</f>
        <v>7067.7919727509352</v>
      </c>
      <c r="D265" s="23">
        <f>IF(A265="","",IF(AND(J265="P&amp;I",A265&gt;=Calculator!C9),MIN(Calculator!C8,MAX(0,B265-C265+F265)),0))</f>
        <v>0</v>
      </c>
      <c r="E265" s="23">
        <f t="shared" si="15"/>
        <v>7067.7919727509352</v>
      </c>
      <c r="F265" s="23">
        <f>IF(A265="","",IF(Calculator!C12="Beginning of Period",MAX(0,(B265-IF(J265="IO",Calculator!C22,Calculator!C21))*Calculator!C17),B265*Calculator!C17))</f>
        <v>1690.5370225747663</v>
      </c>
      <c r="G265" s="23">
        <f t="shared" si="16"/>
        <v>5377.2549501761687</v>
      </c>
      <c r="H265" s="23">
        <f t="shared" si="17"/>
        <v>284429.09177692543</v>
      </c>
      <c r="I265" s="23">
        <f t="shared" si="19"/>
        <v>1079648.2528556637</v>
      </c>
      <c r="J265" s="24" t="str">
        <f>IF(A265="","",IF(A265&lt;=Calculator!C19,"IO","P&amp;I"))</f>
        <v>P&amp;I</v>
      </c>
    </row>
    <row r="266" spans="1:10" ht="15.75" customHeight="1" x14ac:dyDescent="0.25">
      <c r="A266" s="19">
        <f>IF(255&lt;=Calculator!C18,255,"")</f>
        <v>255</v>
      </c>
      <c r="B266" s="20">
        <f t="shared" si="18"/>
        <v>284429.09177692543</v>
      </c>
      <c r="C266" s="20">
        <f>IF(A266="","",IF(J266="IO",Calculator!C22,IF(B266&gt;0,MIN(Calculator!C21,B266*(1+Calculator!C17)),0)))</f>
        <v>7067.7919727509352</v>
      </c>
      <c r="D266" s="20">
        <f>IF(A266="","",IF(AND(J266="P&amp;I",A266&gt;=Calculator!C9),MIN(Calculator!C8,MAX(0,B266-C266+F266)),0))</f>
        <v>0</v>
      </c>
      <c r="E266" s="20">
        <f t="shared" si="15"/>
        <v>7067.7919727509352</v>
      </c>
      <c r="F266" s="20">
        <f>IF(A266="","",IF(Calculator!C12="Beginning of Period",MAX(0,(B266-IF(J266="IO",Calculator!C22,Calculator!C21))*Calculator!C17),B266*Calculator!C17))</f>
        <v>1659.1697020320717</v>
      </c>
      <c r="G266" s="20">
        <f t="shared" si="16"/>
        <v>5408.6222707188635</v>
      </c>
      <c r="H266" s="20">
        <f t="shared" si="17"/>
        <v>279020.46950620657</v>
      </c>
      <c r="I266" s="20">
        <f t="shared" si="19"/>
        <v>1081307.4225576958</v>
      </c>
      <c r="J266" s="21" t="str">
        <f>IF(A266="","",IF(A266&lt;=Calculator!C19,"IO","P&amp;I"))</f>
        <v>P&amp;I</v>
      </c>
    </row>
    <row r="267" spans="1:10" ht="15.75" customHeight="1" x14ac:dyDescent="0.25">
      <c r="A267" s="22">
        <f>IF(256&lt;=Calculator!C18,256,"")</f>
        <v>256</v>
      </c>
      <c r="B267" s="23">
        <f t="shared" si="18"/>
        <v>279020.46950620657</v>
      </c>
      <c r="C267" s="23">
        <f>IF(A267="","",IF(J267="IO",Calculator!C22,IF(B267&gt;0,MIN(Calculator!C21,B267*(1+Calculator!C17)),0)))</f>
        <v>7067.7919727509352</v>
      </c>
      <c r="D267" s="23">
        <f>IF(A267="","",IF(AND(J267="P&amp;I",A267&gt;=Calculator!C9),MIN(Calculator!C8,MAX(0,B267-C267+F267)),0))</f>
        <v>0</v>
      </c>
      <c r="E267" s="23">
        <f t="shared" si="15"/>
        <v>7067.7919727509352</v>
      </c>
      <c r="F267" s="23">
        <f>IF(A267="","",IF(Calculator!C12="Beginning of Period",MAX(0,(B267-IF(J267="IO",Calculator!C22,Calculator!C21))*Calculator!C17),B267*Calculator!C17))</f>
        <v>1627.6194054528783</v>
      </c>
      <c r="G267" s="23">
        <f t="shared" si="16"/>
        <v>5440.1725672980574</v>
      </c>
      <c r="H267" s="23">
        <f t="shared" si="17"/>
        <v>273580.29693890852</v>
      </c>
      <c r="I267" s="23">
        <f t="shared" si="19"/>
        <v>1082935.0419631486</v>
      </c>
      <c r="J267" s="24" t="str">
        <f>IF(A267="","",IF(A267&lt;=Calculator!C19,"IO","P&amp;I"))</f>
        <v>P&amp;I</v>
      </c>
    </row>
    <row r="268" spans="1:10" ht="15.75" customHeight="1" x14ac:dyDescent="0.25">
      <c r="A268" s="19">
        <f>IF(257&lt;=Calculator!C18,257,"")</f>
        <v>257</v>
      </c>
      <c r="B268" s="20">
        <f t="shared" si="18"/>
        <v>273580.29693890852</v>
      </c>
      <c r="C268" s="20">
        <f>IF(A268="","",IF(J268="IO",Calculator!C22,IF(B268&gt;0,MIN(Calculator!C21,B268*(1+Calculator!C17)),0)))</f>
        <v>7067.7919727509352</v>
      </c>
      <c r="D268" s="20">
        <f>IF(A268="","",IF(AND(J268="P&amp;I",A268&gt;=Calculator!C9),MIN(Calculator!C8,MAX(0,B268-C268+F268)),0))</f>
        <v>0</v>
      </c>
      <c r="E268" s="20">
        <f t="shared" ref="E268:E331" si="20">IF(A268="","",C268+D268)</f>
        <v>7067.7919727509352</v>
      </c>
      <c r="F268" s="20">
        <f>IF(A268="","",IF(Calculator!C12="Beginning of Period",MAX(0,(B268-IF(J268="IO",Calculator!C22,Calculator!C21))*Calculator!C17),B268*Calculator!C17))</f>
        <v>1595.8850654769728</v>
      </c>
      <c r="G268" s="20">
        <f t="shared" ref="G268:G331" si="21">IF(A268="","",IF(J268="IO",0,MAX(0,C268-F268)))</f>
        <v>5471.9069072739621</v>
      </c>
      <c r="H268" s="20">
        <f t="shared" ref="H268:H331" si="22">IF(A268="","",MAX(0,B268-G268-D268))</f>
        <v>268108.39003163454</v>
      </c>
      <c r="I268" s="20">
        <f t="shared" si="19"/>
        <v>1084530.9270286255</v>
      </c>
      <c r="J268" s="21" t="str">
        <f>IF(A268="","",IF(A268&lt;=Calculator!C19,"IO","P&amp;I"))</f>
        <v>P&amp;I</v>
      </c>
    </row>
    <row r="269" spans="1:10" ht="15.75" customHeight="1" x14ac:dyDescent="0.25">
      <c r="A269" s="22">
        <f>IF(258&lt;=Calculator!C18,258,"")</f>
        <v>258</v>
      </c>
      <c r="B269" s="23">
        <f t="shared" ref="B269:B332" si="23">IF(A269="","",H268)</f>
        <v>268108.39003163454</v>
      </c>
      <c r="C269" s="23">
        <f>IF(A269="","",IF(J269="IO",Calculator!C22,IF(B269&gt;0,MIN(Calculator!C21,B269*(1+Calculator!C17)),0)))</f>
        <v>7067.7919727509352</v>
      </c>
      <c r="D269" s="23">
        <f>IF(A269="","",IF(AND(J269="P&amp;I",A269&gt;=Calculator!C9),MIN(Calculator!C8,MAX(0,B269-C269+F269)),0))</f>
        <v>0</v>
      </c>
      <c r="E269" s="23">
        <f t="shared" si="20"/>
        <v>7067.7919727509352</v>
      </c>
      <c r="F269" s="23">
        <f>IF(A269="","",IF(Calculator!C12="Beginning of Period",MAX(0,(B269-IF(J269="IO",Calculator!C22,Calculator!C21))*Calculator!C17),B269*Calculator!C17))</f>
        <v>1563.9656085178744</v>
      </c>
      <c r="G269" s="23">
        <f t="shared" si="21"/>
        <v>5503.8263642330603</v>
      </c>
      <c r="H269" s="23">
        <f t="shared" si="22"/>
        <v>262604.5636674015</v>
      </c>
      <c r="I269" s="23">
        <f t="shared" ref="I269:I332" si="24">IF(A269="","",I268+F269)</f>
        <v>1086094.8926371434</v>
      </c>
      <c r="J269" s="24" t="str">
        <f>IF(A269="","",IF(A269&lt;=Calculator!C19,"IO","P&amp;I"))</f>
        <v>P&amp;I</v>
      </c>
    </row>
    <row r="270" spans="1:10" ht="15.75" customHeight="1" x14ac:dyDescent="0.25">
      <c r="A270" s="19">
        <f>IF(259&lt;=Calculator!C18,259,"")</f>
        <v>259</v>
      </c>
      <c r="B270" s="20">
        <f t="shared" si="23"/>
        <v>262604.5636674015</v>
      </c>
      <c r="C270" s="20">
        <f>IF(A270="","",IF(J270="IO",Calculator!C22,IF(B270&gt;0,MIN(Calculator!C21,B270*(1+Calculator!C17)),0)))</f>
        <v>7067.7919727509352</v>
      </c>
      <c r="D270" s="20">
        <f>IF(A270="","",IF(AND(J270="P&amp;I",A270&gt;=Calculator!C9),MIN(Calculator!C8,MAX(0,B270-C270+F270)),0))</f>
        <v>0</v>
      </c>
      <c r="E270" s="20">
        <f t="shared" si="20"/>
        <v>7067.7919727509352</v>
      </c>
      <c r="F270" s="20">
        <f>IF(A270="","",IF(Calculator!C12="Beginning of Period",MAX(0,(B270-IF(J270="IO",Calculator!C22,Calculator!C21))*Calculator!C17),B270*Calculator!C17))</f>
        <v>1531.8599547265148</v>
      </c>
      <c r="G270" s="20">
        <f t="shared" si="21"/>
        <v>5535.9320180244204</v>
      </c>
      <c r="H270" s="20">
        <f t="shared" si="22"/>
        <v>257068.63164937709</v>
      </c>
      <c r="I270" s="20">
        <f t="shared" si="24"/>
        <v>1087626.7525918698</v>
      </c>
      <c r="J270" s="21" t="str">
        <f>IF(A270="","",IF(A270&lt;=Calculator!C19,"IO","P&amp;I"))</f>
        <v>P&amp;I</v>
      </c>
    </row>
    <row r="271" spans="1:10" ht="15.75" customHeight="1" x14ac:dyDescent="0.25">
      <c r="A271" s="22">
        <f>IF(260&lt;=Calculator!C18,260,"")</f>
        <v>260</v>
      </c>
      <c r="B271" s="23">
        <f t="shared" si="23"/>
        <v>257068.63164937709</v>
      </c>
      <c r="C271" s="23">
        <f>IF(A271="","",IF(J271="IO",Calculator!C22,IF(B271&gt;0,MIN(Calculator!C21,B271*(1+Calculator!C17)),0)))</f>
        <v>7067.7919727509352</v>
      </c>
      <c r="D271" s="23">
        <f>IF(A271="","",IF(AND(J271="P&amp;I",A271&gt;=Calculator!C9),MIN(Calculator!C8,MAX(0,B271-C271+F271)),0))</f>
        <v>0</v>
      </c>
      <c r="E271" s="23">
        <f t="shared" si="20"/>
        <v>7067.7919727509352</v>
      </c>
      <c r="F271" s="23">
        <f>IF(A271="","",IF(Calculator!C12="Beginning of Period",MAX(0,(B271-IF(J271="IO",Calculator!C22,Calculator!C21))*Calculator!C17),B271*Calculator!C17))</f>
        <v>1499.5670179547058</v>
      </c>
      <c r="G271" s="23">
        <f t="shared" si="21"/>
        <v>5568.2249547962292</v>
      </c>
      <c r="H271" s="23">
        <f t="shared" si="22"/>
        <v>251500.40669458086</v>
      </c>
      <c r="I271" s="23">
        <f t="shared" si="24"/>
        <v>1089126.3196098246</v>
      </c>
      <c r="J271" s="24" t="str">
        <f>IF(A271="","",IF(A271&lt;=Calculator!C19,"IO","P&amp;I"))</f>
        <v>P&amp;I</v>
      </c>
    </row>
    <row r="272" spans="1:10" ht="15.75" customHeight="1" x14ac:dyDescent="0.25">
      <c r="A272" s="19">
        <f>IF(261&lt;=Calculator!C18,261,"")</f>
        <v>261</v>
      </c>
      <c r="B272" s="20">
        <f t="shared" si="23"/>
        <v>251500.40669458086</v>
      </c>
      <c r="C272" s="20">
        <f>IF(A272="","",IF(J272="IO",Calculator!C22,IF(B272&gt;0,MIN(Calculator!C21,B272*(1+Calculator!C17)),0)))</f>
        <v>7067.7919727509352</v>
      </c>
      <c r="D272" s="20">
        <f>IF(A272="","",IF(AND(J272="P&amp;I",A272&gt;=Calculator!C9),MIN(Calculator!C8,MAX(0,B272-C272+F272)),0))</f>
        <v>0</v>
      </c>
      <c r="E272" s="20">
        <f t="shared" si="20"/>
        <v>7067.7919727509352</v>
      </c>
      <c r="F272" s="20">
        <f>IF(A272="","",IF(Calculator!C12="Beginning of Period",MAX(0,(B272-IF(J272="IO",Calculator!C22,Calculator!C21))*Calculator!C17),B272*Calculator!C17))</f>
        <v>1467.0857057183944</v>
      </c>
      <c r="G272" s="20">
        <f t="shared" si="21"/>
        <v>5600.7062670325413</v>
      </c>
      <c r="H272" s="20">
        <f t="shared" si="22"/>
        <v>245899.70042754832</v>
      </c>
      <c r="I272" s="20">
        <f t="shared" si="24"/>
        <v>1090593.4053155431</v>
      </c>
      <c r="J272" s="21" t="str">
        <f>IF(A272="","",IF(A272&lt;=Calculator!C19,"IO","P&amp;I"))</f>
        <v>P&amp;I</v>
      </c>
    </row>
    <row r="273" spans="1:10" ht="15.75" customHeight="1" x14ac:dyDescent="0.25">
      <c r="A273" s="22">
        <f>IF(262&lt;=Calculator!C18,262,"")</f>
        <v>262</v>
      </c>
      <c r="B273" s="23">
        <f t="shared" si="23"/>
        <v>245899.70042754832</v>
      </c>
      <c r="C273" s="23">
        <f>IF(A273="","",IF(J273="IO",Calculator!C22,IF(B273&gt;0,MIN(Calculator!C21,B273*(1+Calculator!C17)),0)))</f>
        <v>7067.7919727509352</v>
      </c>
      <c r="D273" s="23">
        <f>IF(A273="","",IF(AND(J273="P&amp;I",A273&gt;=Calculator!C9),MIN(Calculator!C8,MAX(0,B273-C273+F273)),0))</f>
        <v>0</v>
      </c>
      <c r="E273" s="23">
        <f t="shared" si="20"/>
        <v>7067.7919727509352</v>
      </c>
      <c r="F273" s="23">
        <f>IF(A273="","",IF(Calculator!C12="Beginning of Period",MAX(0,(B273-IF(J273="IO",Calculator!C22,Calculator!C21))*Calculator!C17),B273*Calculator!C17))</f>
        <v>1434.4149191607044</v>
      </c>
      <c r="G273" s="23">
        <f t="shared" si="21"/>
        <v>5633.3770535902313</v>
      </c>
      <c r="H273" s="23">
        <f t="shared" si="22"/>
        <v>240266.32337395809</v>
      </c>
      <c r="I273" s="23">
        <f t="shared" si="24"/>
        <v>1092027.8202347038</v>
      </c>
      <c r="J273" s="24" t="str">
        <f>IF(A273="","",IF(A273&lt;=Calculator!C19,"IO","P&amp;I"))</f>
        <v>P&amp;I</v>
      </c>
    </row>
    <row r="274" spans="1:10" ht="15.75" customHeight="1" x14ac:dyDescent="0.25">
      <c r="A274" s="19">
        <f>IF(263&lt;=Calculator!C18,263,"")</f>
        <v>263</v>
      </c>
      <c r="B274" s="20">
        <f t="shared" si="23"/>
        <v>240266.32337395809</v>
      </c>
      <c r="C274" s="20">
        <f>IF(A274="","",IF(J274="IO",Calculator!C22,IF(B274&gt;0,MIN(Calculator!C21,B274*(1+Calculator!C17)),0)))</f>
        <v>7067.7919727509352</v>
      </c>
      <c r="D274" s="20">
        <f>IF(A274="","",IF(AND(J274="P&amp;I",A274&gt;=Calculator!C9),MIN(Calculator!C8,MAX(0,B274-C274+F274)),0))</f>
        <v>0</v>
      </c>
      <c r="E274" s="20">
        <f t="shared" si="20"/>
        <v>7067.7919727509352</v>
      </c>
      <c r="F274" s="20">
        <f>IF(A274="","",IF(Calculator!C12="Beginning of Period",MAX(0,(B274-IF(J274="IO",Calculator!C22,Calculator!C21))*Calculator!C17),B274*Calculator!C17))</f>
        <v>1401.5535530147613</v>
      </c>
      <c r="G274" s="20">
        <f t="shared" si="21"/>
        <v>5666.2384197361735</v>
      </c>
      <c r="H274" s="20">
        <f t="shared" si="22"/>
        <v>234600.08495422191</v>
      </c>
      <c r="I274" s="20">
        <f t="shared" si="24"/>
        <v>1093429.3737877186</v>
      </c>
      <c r="J274" s="21" t="str">
        <f>IF(A274="","",IF(A274&lt;=Calculator!C19,"IO","P&amp;I"))</f>
        <v>P&amp;I</v>
      </c>
    </row>
    <row r="275" spans="1:10" ht="15.75" customHeight="1" x14ac:dyDescent="0.25">
      <c r="A275" s="22">
        <f>IF(264&lt;=Calculator!C18,264,"")</f>
        <v>264</v>
      </c>
      <c r="B275" s="23">
        <f t="shared" si="23"/>
        <v>234600.08495422191</v>
      </c>
      <c r="C275" s="23">
        <f>IF(A275="","",IF(J275="IO",Calculator!C22,IF(B275&gt;0,MIN(Calculator!C21,B275*(1+Calculator!C17)),0)))</f>
        <v>7067.7919727509352</v>
      </c>
      <c r="D275" s="23">
        <f>IF(A275="","",IF(AND(J275="P&amp;I",A275&gt;=Calculator!C9),MIN(Calculator!C8,MAX(0,B275-C275+F275)),0))</f>
        <v>0</v>
      </c>
      <c r="E275" s="23">
        <f t="shared" si="20"/>
        <v>7067.7919727509352</v>
      </c>
      <c r="F275" s="23">
        <f>IF(A275="","",IF(Calculator!C12="Beginning of Period",MAX(0,(B275-IF(J275="IO",Calculator!C22,Calculator!C21))*Calculator!C17),B275*Calculator!C17))</f>
        <v>1368.5004955663001</v>
      </c>
      <c r="G275" s="23">
        <f t="shared" si="21"/>
        <v>5699.2914771846354</v>
      </c>
      <c r="H275" s="23">
        <f t="shared" si="22"/>
        <v>228900.79347703728</v>
      </c>
      <c r="I275" s="23">
        <f t="shared" si="24"/>
        <v>1094797.8742832849</v>
      </c>
      <c r="J275" s="24" t="str">
        <f>IF(A275="","",IF(A275&lt;=Calculator!C19,"IO","P&amp;I"))</f>
        <v>P&amp;I</v>
      </c>
    </row>
    <row r="276" spans="1:10" ht="15.75" customHeight="1" x14ac:dyDescent="0.25">
      <c r="A276" s="19">
        <f>IF(265&lt;=Calculator!C18,265,"")</f>
        <v>265</v>
      </c>
      <c r="B276" s="20">
        <f t="shared" si="23"/>
        <v>228900.79347703728</v>
      </c>
      <c r="C276" s="20">
        <f>IF(A276="","",IF(J276="IO",Calculator!C22,IF(B276&gt;0,MIN(Calculator!C21,B276*(1+Calculator!C17)),0)))</f>
        <v>7067.7919727509352</v>
      </c>
      <c r="D276" s="20">
        <f>IF(A276="","",IF(AND(J276="P&amp;I",A276&gt;=Calculator!C9),MIN(Calculator!C8,MAX(0,B276-C276+F276)),0))</f>
        <v>0</v>
      </c>
      <c r="E276" s="20">
        <f t="shared" si="20"/>
        <v>7067.7919727509352</v>
      </c>
      <c r="F276" s="20">
        <f>IF(A276="","",IF(Calculator!C12="Beginning of Period",MAX(0,(B276-IF(J276="IO",Calculator!C22,Calculator!C21))*Calculator!C17),B276*Calculator!C17))</f>
        <v>1335.2546286160562</v>
      </c>
      <c r="G276" s="20">
        <f t="shared" si="21"/>
        <v>5732.5373441348793</v>
      </c>
      <c r="H276" s="20">
        <f t="shared" si="22"/>
        <v>223168.2561329024</v>
      </c>
      <c r="I276" s="20">
        <f t="shared" si="24"/>
        <v>1096133.128911901</v>
      </c>
      <c r="J276" s="21" t="str">
        <f>IF(A276="","",IF(A276&lt;=Calculator!C19,"IO","P&amp;I"))</f>
        <v>P&amp;I</v>
      </c>
    </row>
    <row r="277" spans="1:10" ht="15.75" customHeight="1" x14ac:dyDescent="0.25">
      <c r="A277" s="22">
        <f>IF(266&lt;=Calculator!C18,266,"")</f>
        <v>266</v>
      </c>
      <c r="B277" s="23">
        <f t="shared" si="23"/>
        <v>223168.2561329024</v>
      </c>
      <c r="C277" s="23">
        <f>IF(A277="","",IF(J277="IO",Calculator!C22,IF(B277&gt;0,MIN(Calculator!C21,B277*(1+Calculator!C17)),0)))</f>
        <v>7067.7919727509352</v>
      </c>
      <c r="D277" s="23">
        <f>IF(A277="","",IF(AND(J277="P&amp;I",A277&gt;=Calculator!C9),MIN(Calculator!C8,MAX(0,B277-C277+F277)),0))</f>
        <v>0</v>
      </c>
      <c r="E277" s="23">
        <f t="shared" si="20"/>
        <v>7067.7919727509352</v>
      </c>
      <c r="F277" s="23">
        <f>IF(A277="","",IF(Calculator!C12="Beginning of Period",MAX(0,(B277-IF(J277="IO",Calculator!C22,Calculator!C21))*Calculator!C17),B277*Calculator!C17))</f>
        <v>1301.8148274419359</v>
      </c>
      <c r="G277" s="23">
        <f t="shared" si="21"/>
        <v>5765.9771453089998</v>
      </c>
      <c r="H277" s="23">
        <f t="shared" si="22"/>
        <v>217402.2789875934</v>
      </c>
      <c r="I277" s="23">
        <f t="shared" si="24"/>
        <v>1097434.943739343</v>
      </c>
      <c r="J277" s="24" t="str">
        <f>IF(A277="","",IF(A277&lt;=Calculator!C19,"IO","P&amp;I"))</f>
        <v>P&amp;I</v>
      </c>
    </row>
    <row r="278" spans="1:10" ht="15.75" customHeight="1" x14ac:dyDescent="0.25">
      <c r="A278" s="19">
        <f>IF(267&lt;=Calculator!C18,267,"")</f>
        <v>267</v>
      </c>
      <c r="B278" s="20">
        <f t="shared" si="23"/>
        <v>217402.2789875934</v>
      </c>
      <c r="C278" s="20">
        <f>IF(A278="","",IF(J278="IO",Calculator!C22,IF(B278&gt;0,MIN(Calculator!C21,B278*(1+Calculator!C17)),0)))</f>
        <v>7067.7919727509352</v>
      </c>
      <c r="D278" s="20">
        <f>IF(A278="","",IF(AND(J278="P&amp;I",A278&gt;=Calculator!C9),MIN(Calculator!C8,MAX(0,B278-C278+F278)),0))</f>
        <v>0</v>
      </c>
      <c r="E278" s="20">
        <f t="shared" si="20"/>
        <v>7067.7919727509352</v>
      </c>
      <c r="F278" s="20">
        <f>IF(A278="","",IF(Calculator!C12="Beginning of Period",MAX(0,(B278-IF(J278="IO",Calculator!C22,Calculator!C21))*Calculator!C17),B278*Calculator!C17))</f>
        <v>1268.1799607609667</v>
      </c>
      <c r="G278" s="20">
        <f t="shared" si="21"/>
        <v>5799.6120119899688</v>
      </c>
      <c r="H278" s="20">
        <f t="shared" si="22"/>
        <v>211602.66697560344</v>
      </c>
      <c r="I278" s="20">
        <f t="shared" si="24"/>
        <v>1098703.123700104</v>
      </c>
      <c r="J278" s="21" t="str">
        <f>IF(A278="","",IF(A278&lt;=Calculator!C19,"IO","P&amp;I"))</f>
        <v>P&amp;I</v>
      </c>
    </row>
    <row r="279" spans="1:10" ht="15.75" customHeight="1" x14ac:dyDescent="0.25">
      <c r="A279" s="22">
        <f>IF(268&lt;=Calculator!C18,268,"")</f>
        <v>268</v>
      </c>
      <c r="B279" s="23">
        <f t="shared" si="23"/>
        <v>211602.66697560344</v>
      </c>
      <c r="C279" s="23">
        <f>IF(A279="","",IF(J279="IO",Calculator!C22,IF(B279&gt;0,MIN(Calculator!C21,B279*(1+Calculator!C17)),0)))</f>
        <v>7067.7919727509352</v>
      </c>
      <c r="D279" s="23">
        <f>IF(A279="","",IF(AND(J279="P&amp;I",A279&gt;=Calculator!C9),MIN(Calculator!C8,MAX(0,B279-C279+F279)),0))</f>
        <v>0</v>
      </c>
      <c r="E279" s="23">
        <f t="shared" si="20"/>
        <v>7067.7919727509352</v>
      </c>
      <c r="F279" s="23">
        <f>IF(A279="","",IF(Calculator!C12="Beginning of Period",MAX(0,(B279-IF(J279="IO",Calculator!C22,Calculator!C21))*Calculator!C17),B279*Calculator!C17))</f>
        <v>1234.348890691025</v>
      </c>
      <c r="G279" s="23">
        <f t="shared" si="21"/>
        <v>5833.44308205991</v>
      </c>
      <c r="H279" s="23">
        <f t="shared" si="22"/>
        <v>205769.22389354353</v>
      </c>
      <c r="I279" s="23">
        <f t="shared" si="24"/>
        <v>1099937.472590795</v>
      </c>
      <c r="J279" s="24" t="str">
        <f>IF(A279="","",IF(A279&lt;=Calculator!C19,"IO","P&amp;I"))</f>
        <v>P&amp;I</v>
      </c>
    </row>
    <row r="280" spans="1:10" ht="15.75" customHeight="1" x14ac:dyDescent="0.25">
      <c r="A280" s="19">
        <f>IF(269&lt;=Calculator!C18,269,"")</f>
        <v>269</v>
      </c>
      <c r="B280" s="20">
        <f t="shared" si="23"/>
        <v>205769.22389354353</v>
      </c>
      <c r="C280" s="20">
        <f>IF(A280="","",IF(J280="IO",Calculator!C22,IF(B280&gt;0,MIN(Calculator!C21,B280*(1+Calculator!C17)),0)))</f>
        <v>7067.7919727509352</v>
      </c>
      <c r="D280" s="20">
        <f>IF(A280="","",IF(AND(J280="P&amp;I",A280&gt;=Calculator!C9),MIN(Calculator!C8,MAX(0,B280-C280+F280)),0))</f>
        <v>0</v>
      </c>
      <c r="E280" s="20">
        <f t="shared" si="20"/>
        <v>7067.7919727509352</v>
      </c>
      <c r="F280" s="20">
        <f>IF(A280="","",IF(Calculator!C12="Beginning of Period",MAX(0,(B280-IF(J280="IO",Calculator!C22,Calculator!C21))*Calculator!C17),B280*Calculator!C17))</f>
        <v>1200.3204727123421</v>
      </c>
      <c r="G280" s="20">
        <f t="shared" si="21"/>
        <v>5867.4715000385931</v>
      </c>
      <c r="H280" s="20">
        <f t="shared" si="22"/>
        <v>199901.75239350492</v>
      </c>
      <c r="I280" s="20">
        <f t="shared" si="24"/>
        <v>1101137.7930635074</v>
      </c>
      <c r="J280" s="21" t="str">
        <f>IF(A280="","",IF(A280&lt;=Calculator!C19,"IO","P&amp;I"))</f>
        <v>P&amp;I</v>
      </c>
    </row>
    <row r="281" spans="1:10" ht="15.75" customHeight="1" x14ac:dyDescent="0.25">
      <c r="A281" s="22">
        <f>IF(270&lt;=Calculator!C18,270,"")</f>
        <v>270</v>
      </c>
      <c r="B281" s="23">
        <f t="shared" si="23"/>
        <v>199901.75239350492</v>
      </c>
      <c r="C281" s="23">
        <f>IF(A281="","",IF(J281="IO",Calculator!C22,IF(B281&gt;0,MIN(Calculator!C21,B281*(1+Calculator!C17)),0)))</f>
        <v>7067.7919727509352</v>
      </c>
      <c r="D281" s="23">
        <f>IF(A281="","",IF(AND(J281="P&amp;I",A281&gt;=Calculator!C9),MIN(Calculator!C8,MAX(0,B281-C281+F281)),0))</f>
        <v>0</v>
      </c>
      <c r="E281" s="23">
        <f t="shared" si="20"/>
        <v>7067.7919727509352</v>
      </c>
      <c r="F281" s="23">
        <f>IF(A281="","",IF(Calculator!C12="Beginning of Period",MAX(0,(B281-IF(J281="IO",Calculator!C22,Calculator!C21))*Calculator!C17),B281*Calculator!C17))</f>
        <v>1166.0935556287834</v>
      </c>
      <c r="G281" s="23">
        <f t="shared" si="21"/>
        <v>5901.698417122152</v>
      </c>
      <c r="H281" s="23">
        <f t="shared" si="22"/>
        <v>194000.05397638277</v>
      </c>
      <c r="I281" s="23">
        <f t="shared" si="24"/>
        <v>1102303.8866191362</v>
      </c>
      <c r="J281" s="24" t="str">
        <f>IF(A281="","",IF(A281&lt;=Calculator!C19,"IO","P&amp;I"))</f>
        <v>P&amp;I</v>
      </c>
    </row>
    <row r="282" spans="1:10" ht="15.75" customHeight="1" x14ac:dyDescent="0.25">
      <c r="A282" s="19">
        <f>IF(271&lt;=Calculator!C18,271,"")</f>
        <v>271</v>
      </c>
      <c r="B282" s="20">
        <f t="shared" si="23"/>
        <v>194000.05397638277</v>
      </c>
      <c r="C282" s="20">
        <f>IF(A282="","",IF(J282="IO",Calculator!C22,IF(B282&gt;0,MIN(Calculator!C21,B282*(1+Calculator!C17)),0)))</f>
        <v>7067.7919727509352</v>
      </c>
      <c r="D282" s="20">
        <f>IF(A282="","",IF(AND(J282="P&amp;I",A282&gt;=Calculator!C9),MIN(Calculator!C8,MAX(0,B282-C282+F282)),0))</f>
        <v>0</v>
      </c>
      <c r="E282" s="20">
        <f t="shared" si="20"/>
        <v>7067.7919727509352</v>
      </c>
      <c r="F282" s="20">
        <f>IF(A282="","",IF(Calculator!C12="Beginning of Period",MAX(0,(B282-IF(J282="IO",Calculator!C22,Calculator!C21))*Calculator!C17),B282*Calculator!C17))</f>
        <v>1131.666981528904</v>
      </c>
      <c r="G282" s="20">
        <f t="shared" si="21"/>
        <v>5936.124991222031</v>
      </c>
      <c r="H282" s="20">
        <f t="shared" si="22"/>
        <v>188063.92898516075</v>
      </c>
      <c r="I282" s="20">
        <f t="shared" si="24"/>
        <v>1103435.5536006652</v>
      </c>
      <c r="J282" s="21" t="str">
        <f>IF(A282="","",IF(A282&lt;=Calculator!C19,"IO","P&amp;I"))</f>
        <v>P&amp;I</v>
      </c>
    </row>
    <row r="283" spans="1:10" ht="15.75" customHeight="1" x14ac:dyDescent="0.25">
      <c r="A283" s="22">
        <f>IF(272&lt;=Calculator!C18,272,"")</f>
        <v>272</v>
      </c>
      <c r="B283" s="23">
        <f t="shared" si="23"/>
        <v>188063.92898516075</v>
      </c>
      <c r="C283" s="23">
        <f>IF(A283="","",IF(J283="IO",Calculator!C22,IF(B283&gt;0,MIN(Calculator!C21,B283*(1+Calculator!C17)),0)))</f>
        <v>7067.7919727509352</v>
      </c>
      <c r="D283" s="23">
        <f>IF(A283="","",IF(AND(J283="P&amp;I",A283&gt;=Calculator!C9),MIN(Calculator!C8,MAX(0,B283-C283+F283)),0))</f>
        <v>0</v>
      </c>
      <c r="E283" s="23">
        <f t="shared" si="20"/>
        <v>7067.7919727509352</v>
      </c>
      <c r="F283" s="23">
        <f>IF(A283="","",IF(Calculator!C12="Beginning of Period",MAX(0,(B283-IF(J283="IO",Calculator!C22,Calculator!C21))*Calculator!C17),B283*Calculator!C17))</f>
        <v>1097.0395857467754</v>
      </c>
      <c r="G283" s="23">
        <f t="shared" si="21"/>
        <v>5970.7523870041596</v>
      </c>
      <c r="H283" s="23">
        <f t="shared" si="22"/>
        <v>182093.1765981566</v>
      </c>
      <c r="I283" s="23">
        <f t="shared" si="24"/>
        <v>1104532.593186412</v>
      </c>
      <c r="J283" s="24" t="str">
        <f>IF(A283="","",IF(A283&lt;=Calculator!C19,"IO","P&amp;I"))</f>
        <v>P&amp;I</v>
      </c>
    </row>
    <row r="284" spans="1:10" ht="15.75" customHeight="1" x14ac:dyDescent="0.25">
      <c r="A284" s="19">
        <f>IF(273&lt;=Calculator!C18,273,"")</f>
        <v>273</v>
      </c>
      <c r="B284" s="20">
        <f t="shared" si="23"/>
        <v>182093.1765981566</v>
      </c>
      <c r="C284" s="20">
        <f>IF(A284="","",IF(J284="IO",Calculator!C22,IF(B284&gt;0,MIN(Calculator!C21,B284*(1+Calculator!C17)),0)))</f>
        <v>7067.7919727509352</v>
      </c>
      <c r="D284" s="20">
        <f>IF(A284="","",IF(AND(J284="P&amp;I",A284&gt;=Calculator!C9),MIN(Calculator!C8,MAX(0,B284-C284+F284)),0))</f>
        <v>0</v>
      </c>
      <c r="E284" s="20">
        <f t="shared" si="20"/>
        <v>7067.7919727509352</v>
      </c>
      <c r="F284" s="20">
        <f>IF(A284="","",IF(Calculator!C12="Beginning of Period",MAX(0,(B284-IF(J284="IO",Calculator!C22,Calculator!C21))*Calculator!C17),B284*Calculator!C17))</f>
        <v>1062.2101968225845</v>
      </c>
      <c r="G284" s="20">
        <f t="shared" si="21"/>
        <v>6005.5817759283509</v>
      </c>
      <c r="H284" s="20">
        <f t="shared" si="22"/>
        <v>176087.59482222825</v>
      </c>
      <c r="I284" s="20">
        <f t="shared" si="24"/>
        <v>1105594.8033832347</v>
      </c>
      <c r="J284" s="21" t="str">
        <f>IF(A284="","",IF(A284&lt;=Calculator!C19,"IO","P&amp;I"))</f>
        <v>P&amp;I</v>
      </c>
    </row>
    <row r="285" spans="1:10" ht="15.75" customHeight="1" x14ac:dyDescent="0.25">
      <c r="A285" s="22">
        <f>IF(274&lt;=Calculator!C18,274,"")</f>
        <v>274</v>
      </c>
      <c r="B285" s="23">
        <f t="shared" si="23"/>
        <v>176087.59482222825</v>
      </c>
      <c r="C285" s="23">
        <f>IF(A285="","",IF(J285="IO",Calculator!C22,IF(B285&gt;0,MIN(Calculator!C21,B285*(1+Calculator!C17)),0)))</f>
        <v>7067.7919727509352</v>
      </c>
      <c r="D285" s="23">
        <f>IF(A285="","",IF(AND(J285="P&amp;I",A285&gt;=Calculator!C9),MIN(Calculator!C8,MAX(0,B285-C285+F285)),0))</f>
        <v>0</v>
      </c>
      <c r="E285" s="23">
        <f t="shared" si="20"/>
        <v>7067.7919727509352</v>
      </c>
      <c r="F285" s="23">
        <f>IF(A285="","",IF(Calculator!C12="Beginning of Period",MAX(0,(B285-IF(J285="IO",Calculator!C22,Calculator!C21))*Calculator!C17),B285*Calculator!C17))</f>
        <v>1027.1776364630023</v>
      </c>
      <c r="G285" s="23">
        <f t="shared" si="21"/>
        <v>6040.6143362879329</v>
      </c>
      <c r="H285" s="23">
        <f t="shared" si="22"/>
        <v>170046.98048594032</v>
      </c>
      <c r="I285" s="23">
        <f t="shared" si="24"/>
        <v>1106621.9810196976</v>
      </c>
      <c r="J285" s="24" t="str">
        <f>IF(A285="","",IF(A285&lt;=Calculator!C19,"IO","P&amp;I"))</f>
        <v>P&amp;I</v>
      </c>
    </row>
    <row r="286" spans="1:10" ht="15.75" customHeight="1" x14ac:dyDescent="0.25">
      <c r="A286" s="19">
        <f>IF(275&lt;=Calculator!C18,275,"")</f>
        <v>275</v>
      </c>
      <c r="B286" s="20">
        <f t="shared" si="23"/>
        <v>170046.98048594032</v>
      </c>
      <c r="C286" s="20">
        <f>IF(A286="","",IF(J286="IO",Calculator!C22,IF(B286&gt;0,MIN(Calculator!C21,B286*(1+Calculator!C17)),0)))</f>
        <v>7067.7919727509352</v>
      </c>
      <c r="D286" s="20">
        <f>IF(A286="","",IF(AND(J286="P&amp;I",A286&gt;=Calculator!C9),MIN(Calculator!C8,MAX(0,B286-C286+F286)),0))</f>
        <v>0</v>
      </c>
      <c r="E286" s="20">
        <f t="shared" si="20"/>
        <v>7067.7919727509352</v>
      </c>
      <c r="F286" s="20">
        <f>IF(A286="","",IF(Calculator!C12="Beginning of Period",MAX(0,(B286-IF(J286="IO",Calculator!C22,Calculator!C21))*Calculator!C17),B286*Calculator!C17))</f>
        <v>991.94071950132263</v>
      </c>
      <c r="G286" s="20">
        <f t="shared" si="21"/>
        <v>6075.8512532496125</v>
      </c>
      <c r="H286" s="20">
        <f t="shared" si="22"/>
        <v>163971.1292326907</v>
      </c>
      <c r="I286" s="20">
        <f t="shared" si="24"/>
        <v>1107613.921739199</v>
      </c>
      <c r="J286" s="21" t="str">
        <f>IF(A286="","",IF(A286&lt;=Calculator!C19,"IO","P&amp;I"))</f>
        <v>P&amp;I</v>
      </c>
    </row>
    <row r="287" spans="1:10" ht="15.75" customHeight="1" x14ac:dyDescent="0.25">
      <c r="A287" s="22">
        <f>IF(276&lt;=Calculator!C18,276,"")</f>
        <v>276</v>
      </c>
      <c r="B287" s="23">
        <f t="shared" si="23"/>
        <v>163971.1292326907</v>
      </c>
      <c r="C287" s="23">
        <f>IF(A287="","",IF(J287="IO",Calculator!C22,IF(B287&gt;0,MIN(Calculator!C21,B287*(1+Calculator!C17)),0)))</f>
        <v>7067.7919727509352</v>
      </c>
      <c r="D287" s="23">
        <f>IF(A287="","",IF(AND(J287="P&amp;I",A287&gt;=Calculator!C9),MIN(Calculator!C8,MAX(0,B287-C287+F287)),0))</f>
        <v>0</v>
      </c>
      <c r="E287" s="23">
        <f t="shared" si="20"/>
        <v>7067.7919727509352</v>
      </c>
      <c r="F287" s="23">
        <f>IF(A287="","",IF(Calculator!C12="Beginning of Period",MAX(0,(B287-IF(J287="IO",Calculator!C22,Calculator!C21))*Calculator!C17),B287*Calculator!C17))</f>
        <v>956.49825385736631</v>
      </c>
      <c r="G287" s="23">
        <f t="shared" si="21"/>
        <v>6111.2937188935684</v>
      </c>
      <c r="H287" s="23">
        <f t="shared" si="22"/>
        <v>157859.83551379712</v>
      </c>
      <c r="I287" s="23">
        <f t="shared" si="24"/>
        <v>1108570.4199930562</v>
      </c>
      <c r="J287" s="24" t="str">
        <f>IF(A287="","",IF(A287&lt;=Calculator!C19,"IO","P&amp;I"))</f>
        <v>P&amp;I</v>
      </c>
    </row>
    <row r="288" spans="1:10" ht="15.75" customHeight="1" x14ac:dyDescent="0.25">
      <c r="A288" s="19">
        <f>IF(277&lt;=Calculator!C18,277,"")</f>
        <v>277</v>
      </c>
      <c r="B288" s="20">
        <f t="shared" si="23"/>
        <v>157859.83551379712</v>
      </c>
      <c r="C288" s="20">
        <f>IF(A288="","",IF(J288="IO",Calculator!C22,IF(B288&gt;0,MIN(Calculator!C21,B288*(1+Calculator!C17)),0)))</f>
        <v>7067.7919727509352</v>
      </c>
      <c r="D288" s="20">
        <f>IF(A288="","",IF(AND(J288="P&amp;I",A288&gt;=Calculator!C9),MIN(Calculator!C8,MAX(0,B288-C288+F288)),0))</f>
        <v>0</v>
      </c>
      <c r="E288" s="20">
        <f t="shared" si="20"/>
        <v>7067.7919727509352</v>
      </c>
      <c r="F288" s="20">
        <f>IF(A288="","",IF(Calculator!C12="Beginning of Period",MAX(0,(B288-IF(J288="IO",Calculator!C22,Calculator!C21))*Calculator!C17),B288*Calculator!C17))</f>
        <v>920.84904049715362</v>
      </c>
      <c r="G288" s="20">
        <f t="shared" si="21"/>
        <v>6146.9429322537817</v>
      </c>
      <c r="H288" s="20">
        <f t="shared" si="22"/>
        <v>151712.89258154333</v>
      </c>
      <c r="I288" s="20">
        <f t="shared" si="24"/>
        <v>1109491.2690335533</v>
      </c>
      <c r="J288" s="21" t="str">
        <f>IF(A288="","",IF(A288&lt;=Calculator!C19,"IO","P&amp;I"))</f>
        <v>P&amp;I</v>
      </c>
    </row>
    <row r="289" spans="1:10" ht="15.75" customHeight="1" x14ac:dyDescent="0.25">
      <c r="A289" s="22">
        <f>IF(278&lt;=Calculator!C18,278,"")</f>
        <v>278</v>
      </c>
      <c r="B289" s="23">
        <f t="shared" si="23"/>
        <v>151712.89258154333</v>
      </c>
      <c r="C289" s="23">
        <f>IF(A289="","",IF(J289="IO",Calculator!C22,IF(B289&gt;0,MIN(Calculator!C21,B289*(1+Calculator!C17)),0)))</f>
        <v>7067.7919727509352</v>
      </c>
      <c r="D289" s="23">
        <f>IF(A289="","",IF(AND(J289="P&amp;I",A289&gt;=Calculator!C9),MIN(Calculator!C8,MAX(0,B289-C289+F289)),0))</f>
        <v>0</v>
      </c>
      <c r="E289" s="23">
        <f t="shared" si="20"/>
        <v>7067.7919727509352</v>
      </c>
      <c r="F289" s="23">
        <f>IF(A289="","",IF(Calculator!C12="Beginning of Period",MAX(0,(B289-IF(J289="IO",Calculator!C22,Calculator!C21))*Calculator!C17),B289*Calculator!C17))</f>
        <v>884.9918733923397</v>
      </c>
      <c r="G289" s="23">
        <f t="shared" si="21"/>
        <v>6182.8000993585956</v>
      </c>
      <c r="H289" s="23">
        <f t="shared" si="22"/>
        <v>145530.09248218473</v>
      </c>
      <c r="I289" s="23">
        <f t="shared" si="24"/>
        <v>1110376.2609069457</v>
      </c>
      <c r="J289" s="24" t="str">
        <f>IF(A289="","",IF(A289&lt;=Calculator!C19,"IO","P&amp;I"))</f>
        <v>P&amp;I</v>
      </c>
    </row>
    <row r="290" spans="1:10" ht="15.75" customHeight="1" x14ac:dyDescent="0.25">
      <c r="A290" s="19">
        <f>IF(279&lt;=Calculator!C18,279,"")</f>
        <v>279</v>
      </c>
      <c r="B290" s="20">
        <f t="shared" si="23"/>
        <v>145530.09248218473</v>
      </c>
      <c r="C290" s="20">
        <f>IF(A290="","",IF(J290="IO",Calculator!C22,IF(B290&gt;0,MIN(Calculator!C21,B290*(1+Calculator!C17)),0)))</f>
        <v>7067.7919727509352</v>
      </c>
      <c r="D290" s="20">
        <f>IF(A290="","",IF(AND(J290="P&amp;I",A290&gt;=Calculator!C9),MIN(Calculator!C8,MAX(0,B290-C290+F290)),0))</f>
        <v>0</v>
      </c>
      <c r="E290" s="20">
        <f t="shared" si="20"/>
        <v>7067.7919727509352</v>
      </c>
      <c r="F290" s="20">
        <f>IF(A290="","",IF(Calculator!C12="Beginning of Period",MAX(0,(B290-IF(J290="IO",Calculator!C22,Calculator!C21))*Calculator!C17),B290*Calculator!C17))</f>
        <v>848.9255394794144</v>
      </c>
      <c r="G290" s="20">
        <f t="shared" si="21"/>
        <v>6218.8664332715207</v>
      </c>
      <c r="H290" s="20">
        <f t="shared" si="22"/>
        <v>139311.2260489132</v>
      </c>
      <c r="I290" s="20">
        <f t="shared" si="24"/>
        <v>1111225.186446425</v>
      </c>
      <c r="J290" s="21" t="str">
        <f>IF(A290="","",IF(A290&lt;=Calculator!C19,"IO","P&amp;I"))</f>
        <v>P&amp;I</v>
      </c>
    </row>
    <row r="291" spans="1:10" ht="15.75" customHeight="1" x14ac:dyDescent="0.25">
      <c r="A291" s="22">
        <f>IF(280&lt;=Calculator!C18,280,"")</f>
        <v>280</v>
      </c>
      <c r="B291" s="23">
        <f t="shared" si="23"/>
        <v>139311.2260489132</v>
      </c>
      <c r="C291" s="23">
        <f>IF(A291="","",IF(J291="IO",Calculator!C22,IF(B291&gt;0,MIN(Calculator!C21,B291*(1+Calculator!C17)),0)))</f>
        <v>7067.7919727509352</v>
      </c>
      <c r="D291" s="23">
        <f>IF(A291="","",IF(AND(J291="P&amp;I",A291&gt;=Calculator!C9),MIN(Calculator!C8,MAX(0,B291-C291+F291)),0))</f>
        <v>0</v>
      </c>
      <c r="E291" s="23">
        <f t="shared" si="20"/>
        <v>7067.7919727509352</v>
      </c>
      <c r="F291" s="23">
        <f>IF(A291="","",IF(Calculator!C12="Beginning of Period",MAX(0,(B291-IF(J291="IO",Calculator!C22,Calculator!C21))*Calculator!C17),B291*Calculator!C17))</f>
        <v>812.64881861866365</v>
      </c>
      <c r="G291" s="23">
        <f t="shared" si="21"/>
        <v>6255.1431541322718</v>
      </c>
      <c r="H291" s="23">
        <f t="shared" si="22"/>
        <v>133056.08289478094</v>
      </c>
      <c r="I291" s="23">
        <f t="shared" si="24"/>
        <v>1112037.8352650437</v>
      </c>
      <c r="J291" s="24" t="str">
        <f>IF(A291="","",IF(A291&lt;=Calculator!C19,"IO","P&amp;I"))</f>
        <v>P&amp;I</v>
      </c>
    </row>
    <row r="292" spans="1:10" ht="15.75" customHeight="1" x14ac:dyDescent="0.25">
      <c r="A292" s="19">
        <f>IF(281&lt;=Calculator!C18,281,"")</f>
        <v>281</v>
      </c>
      <c r="B292" s="20">
        <f t="shared" si="23"/>
        <v>133056.08289478094</v>
      </c>
      <c r="C292" s="20">
        <f>IF(A292="","",IF(J292="IO",Calculator!C22,IF(B292&gt;0,MIN(Calculator!C21,B292*(1+Calculator!C17)),0)))</f>
        <v>7067.7919727509352</v>
      </c>
      <c r="D292" s="20">
        <f>IF(A292="","",IF(AND(J292="P&amp;I",A292&gt;=Calculator!C9),MIN(Calculator!C8,MAX(0,B292-C292+F292)),0))</f>
        <v>0</v>
      </c>
      <c r="E292" s="20">
        <f t="shared" si="20"/>
        <v>7067.7919727509352</v>
      </c>
      <c r="F292" s="20">
        <f>IF(A292="","",IF(Calculator!C12="Beginning of Period",MAX(0,(B292-IF(J292="IO",Calculator!C22,Calculator!C21))*Calculator!C17),B292*Calculator!C17))</f>
        <v>776.16048355289195</v>
      </c>
      <c r="G292" s="20">
        <f t="shared" si="21"/>
        <v>6291.6314891980437</v>
      </c>
      <c r="H292" s="20">
        <f t="shared" si="22"/>
        <v>126764.45140558289</v>
      </c>
      <c r="I292" s="20">
        <f t="shared" si="24"/>
        <v>1112813.9957485965</v>
      </c>
      <c r="J292" s="21" t="str">
        <f>IF(A292="","",IF(A292&lt;=Calculator!C19,"IO","P&amp;I"))</f>
        <v>P&amp;I</v>
      </c>
    </row>
    <row r="293" spans="1:10" ht="15.75" customHeight="1" x14ac:dyDescent="0.25">
      <c r="A293" s="22">
        <f>IF(282&lt;=Calculator!C18,282,"")</f>
        <v>282</v>
      </c>
      <c r="B293" s="23">
        <f t="shared" si="23"/>
        <v>126764.45140558289</v>
      </c>
      <c r="C293" s="23">
        <f>IF(A293="","",IF(J293="IO",Calculator!C22,IF(B293&gt;0,MIN(Calculator!C21,B293*(1+Calculator!C17)),0)))</f>
        <v>7067.7919727509352</v>
      </c>
      <c r="D293" s="23">
        <f>IF(A293="","",IF(AND(J293="P&amp;I",A293&gt;=Calculator!C9),MIN(Calculator!C8,MAX(0,B293-C293+F293)),0))</f>
        <v>0</v>
      </c>
      <c r="E293" s="23">
        <f t="shared" si="20"/>
        <v>7067.7919727509352</v>
      </c>
      <c r="F293" s="23">
        <f>IF(A293="","",IF(Calculator!C12="Beginning of Period",MAX(0,(B293-IF(J293="IO",Calculator!C22,Calculator!C21))*Calculator!C17),B293*Calculator!C17))</f>
        <v>739.45929986590318</v>
      </c>
      <c r="G293" s="23">
        <f t="shared" si="21"/>
        <v>6328.3326728850316</v>
      </c>
      <c r="H293" s="23">
        <f t="shared" si="22"/>
        <v>120436.11873269785</v>
      </c>
      <c r="I293" s="23">
        <f t="shared" si="24"/>
        <v>1113553.4550484624</v>
      </c>
      <c r="J293" s="24" t="str">
        <f>IF(A293="","",IF(A293&lt;=Calculator!C19,"IO","P&amp;I"))</f>
        <v>P&amp;I</v>
      </c>
    </row>
    <row r="294" spans="1:10" ht="15.75" customHeight="1" x14ac:dyDescent="0.25">
      <c r="A294" s="19">
        <f>IF(283&lt;=Calculator!C18,283,"")</f>
        <v>283</v>
      </c>
      <c r="B294" s="20">
        <f t="shared" si="23"/>
        <v>120436.11873269785</v>
      </c>
      <c r="C294" s="20">
        <f>IF(A294="","",IF(J294="IO",Calculator!C22,IF(B294&gt;0,MIN(Calculator!C21,B294*(1+Calculator!C17)),0)))</f>
        <v>7067.7919727509352</v>
      </c>
      <c r="D294" s="20">
        <f>IF(A294="","",IF(AND(J294="P&amp;I",A294&gt;=Calculator!C9),MIN(Calculator!C8,MAX(0,B294-C294+F294)),0))</f>
        <v>0</v>
      </c>
      <c r="E294" s="20">
        <f t="shared" si="20"/>
        <v>7067.7919727509352</v>
      </c>
      <c r="F294" s="20">
        <f>IF(A294="","",IF(Calculator!C12="Beginning of Period",MAX(0,(B294-IF(J294="IO",Calculator!C22,Calculator!C21))*Calculator!C17),B294*Calculator!C17))</f>
        <v>702.54402594074031</v>
      </c>
      <c r="G294" s="20">
        <f t="shared" si="21"/>
        <v>6365.2479468101947</v>
      </c>
      <c r="H294" s="20">
        <f t="shared" si="22"/>
        <v>114070.87078588766</v>
      </c>
      <c r="I294" s="20">
        <f t="shared" si="24"/>
        <v>1114255.9990744032</v>
      </c>
      <c r="J294" s="21" t="str">
        <f>IF(A294="","",IF(A294&lt;=Calculator!C19,"IO","P&amp;I"))</f>
        <v>P&amp;I</v>
      </c>
    </row>
    <row r="295" spans="1:10" ht="15.75" customHeight="1" x14ac:dyDescent="0.25">
      <c r="A295" s="22">
        <f>IF(284&lt;=Calculator!C18,284,"")</f>
        <v>284</v>
      </c>
      <c r="B295" s="23">
        <f t="shared" si="23"/>
        <v>114070.87078588766</v>
      </c>
      <c r="C295" s="23">
        <f>IF(A295="","",IF(J295="IO",Calculator!C22,IF(B295&gt;0,MIN(Calculator!C21,B295*(1+Calculator!C17)),0)))</f>
        <v>7067.7919727509352</v>
      </c>
      <c r="D295" s="23">
        <f>IF(A295="","",IF(AND(J295="P&amp;I",A295&gt;=Calculator!C9),MIN(Calculator!C8,MAX(0,B295-C295+F295)),0))</f>
        <v>0</v>
      </c>
      <c r="E295" s="23">
        <f t="shared" si="20"/>
        <v>7067.7919727509352</v>
      </c>
      <c r="F295" s="23">
        <f>IF(A295="","",IF(Calculator!C12="Beginning of Period",MAX(0,(B295-IF(J295="IO",Calculator!C22,Calculator!C21))*Calculator!C17),B295*Calculator!C17))</f>
        <v>665.41341291768072</v>
      </c>
      <c r="G295" s="23">
        <f t="shared" si="21"/>
        <v>6402.3785598332543</v>
      </c>
      <c r="H295" s="23">
        <f t="shared" si="22"/>
        <v>107668.4922260544</v>
      </c>
      <c r="I295" s="23">
        <f t="shared" si="24"/>
        <v>1114921.4124873208</v>
      </c>
      <c r="J295" s="24" t="str">
        <f>IF(A295="","",IF(A295&lt;=Calculator!C19,"IO","P&amp;I"))</f>
        <v>P&amp;I</v>
      </c>
    </row>
    <row r="296" spans="1:10" ht="15.75" customHeight="1" x14ac:dyDescent="0.25">
      <c r="A296" s="19">
        <f>IF(285&lt;=Calculator!C18,285,"")</f>
        <v>285</v>
      </c>
      <c r="B296" s="20">
        <f t="shared" si="23"/>
        <v>107668.4922260544</v>
      </c>
      <c r="C296" s="20">
        <f>IF(A296="","",IF(J296="IO",Calculator!C22,IF(B296&gt;0,MIN(Calculator!C21,B296*(1+Calculator!C17)),0)))</f>
        <v>7067.7919727509352</v>
      </c>
      <c r="D296" s="20">
        <f>IF(A296="","",IF(AND(J296="P&amp;I",A296&gt;=Calculator!C9),MIN(Calculator!C8,MAX(0,B296-C296+F296)),0))</f>
        <v>0</v>
      </c>
      <c r="E296" s="20">
        <f t="shared" si="20"/>
        <v>7067.7919727509352</v>
      </c>
      <c r="F296" s="20">
        <f>IF(A296="","",IF(Calculator!C12="Beginning of Period",MAX(0,(B296-IF(J296="IO",Calculator!C22,Calculator!C21))*Calculator!C17),B296*Calculator!C17))</f>
        <v>628.06620465198648</v>
      </c>
      <c r="G296" s="20">
        <f t="shared" si="21"/>
        <v>6439.7257680989487</v>
      </c>
      <c r="H296" s="20">
        <f t="shared" si="22"/>
        <v>101228.76645795545</v>
      </c>
      <c r="I296" s="20">
        <f t="shared" si="24"/>
        <v>1115549.4786919728</v>
      </c>
      <c r="J296" s="21" t="str">
        <f>IF(A296="","",IF(A296&lt;=Calculator!C19,"IO","P&amp;I"))</f>
        <v>P&amp;I</v>
      </c>
    </row>
    <row r="297" spans="1:10" ht="15.75" customHeight="1" x14ac:dyDescent="0.25">
      <c r="A297" s="22">
        <f>IF(286&lt;=Calculator!C18,286,"")</f>
        <v>286</v>
      </c>
      <c r="B297" s="23">
        <f t="shared" si="23"/>
        <v>101228.76645795545</v>
      </c>
      <c r="C297" s="23">
        <f>IF(A297="","",IF(J297="IO",Calculator!C22,IF(B297&gt;0,MIN(Calculator!C21,B297*(1+Calculator!C17)),0)))</f>
        <v>7067.7919727509352</v>
      </c>
      <c r="D297" s="23">
        <f>IF(A297="","",IF(AND(J297="P&amp;I",A297&gt;=Calculator!C9),MIN(Calculator!C8,MAX(0,B297-C297+F297)),0))</f>
        <v>0</v>
      </c>
      <c r="E297" s="23">
        <f t="shared" si="20"/>
        <v>7067.7919727509352</v>
      </c>
      <c r="F297" s="23">
        <f>IF(A297="","",IF(Calculator!C12="Beginning of Period",MAX(0,(B297-IF(J297="IO",Calculator!C22,Calculator!C21))*Calculator!C17),B297*Calculator!C17))</f>
        <v>590.5011376714092</v>
      </c>
      <c r="G297" s="23">
        <f t="shared" si="21"/>
        <v>6477.290835079526</v>
      </c>
      <c r="H297" s="23">
        <f t="shared" si="22"/>
        <v>94751.475622875936</v>
      </c>
      <c r="I297" s="23">
        <f t="shared" si="24"/>
        <v>1116139.9798296441</v>
      </c>
      <c r="J297" s="24" t="str">
        <f>IF(A297="","",IF(A297&lt;=Calculator!C19,"IO","P&amp;I"))</f>
        <v>P&amp;I</v>
      </c>
    </row>
    <row r="298" spans="1:10" ht="15.75" customHeight="1" x14ac:dyDescent="0.25">
      <c r="A298" s="19">
        <f>IF(287&lt;=Calculator!C18,287,"")</f>
        <v>287</v>
      </c>
      <c r="B298" s="20">
        <f t="shared" si="23"/>
        <v>94751.475622875936</v>
      </c>
      <c r="C298" s="20">
        <f>IF(A298="","",IF(J298="IO",Calculator!C22,IF(B298&gt;0,MIN(Calculator!C21,B298*(1+Calculator!C17)),0)))</f>
        <v>7067.7919727509352</v>
      </c>
      <c r="D298" s="20">
        <f>IF(A298="","",IF(AND(J298="P&amp;I",A298&gt;=Calculator!C9),MIN(Calculator!C8,MAX(0,B298-C298+F298)),0))</f>
        <v>0</v>
      </c>
      <c r="E298" s="20">
        <f t="shared" si="20"/>
        <v>7067.7919727509352</v>
      </c>
      <c r="F298" s="20">
        <f>IF(A298="","",IF(Calculator!C12="Beginning of Period",MAX(0,(B298-IF(J298="IO",Calculator!C22,Calculator!C21))*Calculator!C17),B298*Calculator!C17))</f>
        <v>552.71694113344518</v>
      </c>
      <c r="G298" s="20">
        <f t="shared" si="21"/>
        <v>6515.0750316174899</v>
      </c>
      <c r="H298" s="20">
        <f t="shared" si="22"/>
        <v>88236.40059125844</v>
      </c>
      <c r="I298" s="20">
        <f t="shared" si="24"/>
        <v>1116692.6967707775</v>
      </c>
      <c r="J298" s="21" t="str">
        <f>IF(A298="","",IF(A298&lt;=Calculator!C19,"IO","P&amp;I"))</f>
        <v>P&amp;I</v>
      </c>
    </row>
    <row r="299" spans="1:10" ht="15.75" customHeight="1" x14ac:dyDescent="0.25">
      <c r="A299" s="22">
        <f>IF(288&lt;=Calculator!C18,288,"")</f>
        <v>288</v>
      </c>
      <c r="B299" s="23">
        <f t="shared" si="23"/>
        <v>88236.40059125844</v>
      </c>
      <c r="C299" s="23">
        <f>IF(A299="","",IF(J299="IO",Calculator!C22,IF(B299&gt;0,MIN(Calculator!C21,B299*(1+Calculator!C17)),0)))</f>
        <v>7067.7919727509352</v>
      </c>
      <c r="D299" s="23">
        <f>IF(A299="","",IF(AND(J299="P&amp;I",A299&gt;=Calculator!C9),MIN(Calculator!C8,MAX(0,B299-C299+F299)),0))</f>
        <v>0</v>
      </c>
      <c r="E299" s="23">
        <f t="shared" si="20"/>
        <v>7067.7919727509352</v>
      </c>
      <c r="F299" s="23">
        <f>IF(A299="","",IF(Calculator!C12="Beginning of Period",MAX(0,(B299-IF(J299="IO",Calculator!C22,Calculator!C21))*Calculator!C17),B299*Calculator!C17))</f>
        <v>514.71233678234296</v>
      </c>
      <c r="G299" s="23">
        <f t="shared" si="21"/>
        <v>6553.0796359685919</v>
      </c>
      <c r="H299" s="23">
        <f t="shared" si="22"/>
        <v>81683.320955289848</v>
      </c>
      <c r="I299" s="23">
        <f t="shared" si="24"/>
        <v>1117207.4091075598</v>
      </c>
      <c r="J299" s="24" t="str">
        <f>IF(A299="","",IF(A299&lt;=Calculator!C19,"IO","P&amp;I"))</f>
        <v>P&amp;I</v>
      </c>
    </row>
    <row r="300" spans="1:10" ht="15.75" customHeight="1" x14ac:dyDescent="0.25">
      <c r="A300" s="19">
        <f>IF(289&lt;=Calculator!C18,289,"")</f>
        <v>289</v>
      </c>
      <c r="B300" s="20">
        <f t="shared" si="23"/>
        <v>81683.320955289848</v>
      </c>
      <c r="C300" s="20">
        <f>IF(A300="","",IF(J300="IO",Calculator!C22,IF(B300&gt;0,MIN(Calculator!C21,B300*(1+Calculator!C17)),0)))</f>
        <v>7067.7919727509352</v>
      </c>
      <c r="D300" s="20">
        <f>IF(A300="","",IF(AND(J300="P&amp;I",A300&gt;=Calculator!C9),MIN(Calculator!C8,MAX(0,B300-C300+F300)),0))</f>
        <v>0</v>
      </c>
      <c r="E300" s="20">
        <f t="shared" si="20"/>
        <v>7067.7919727509352</v>
      </c>
      <c r="F300" s="20">
        <f>IF(A300="","",IF(Calculator!C12="Beginning of Period",MAX(0,(B300-IF(J300="IO",Calculator!C22,Calculator!C21))*Calculator!C17),B300*Calculator!C17))</f>
        <v>476.4860389058594</v>
      </c>
      <c r="G300" s="20">
        <f t="shared" si="21"/>
        <v>6591.3059338450757</v>
      </c>
      <c r="H300" s="20">
        <f t="shared" si="22"/>
        <v>75092.015021444779</v>
      </c>
      <c r="I300" s="20">
        <f t="shared" si="24"/>
        <v>1117683.8951464656</v>
      </c>
      <c r="J300" s="21" t="str">
        <f>IF(A300="","",IF(A300&lt;=Calculator!C19,"IO","P&amp;I"))</f>
        <v>P&amp;I</v>
      </c>
    </row>
    <row r="301" spans="1:10" ht="15.75" customHeight="1" x14ac:dyDescent="0.25">
      <c r="A301" s="22">
        <f>IF(290&lt;=Calculator!C18,290,"")</f>
        <v>290</v>
      </c>
      <c r="B301" s="23">
        <f t="shared" si="23"/>
        <v>75092.015021444779</v>
      </c>
      <c r="C301" s="23">
        <f>IF(A301="","",IF(J301="IO",Calculator!C22,IF(B301&gt;0,MIN(Calculator!C21,B301*(1+Calculator!C17)),0)))</f>
        <v>7067.7919727509352</v>
      </c>
      <c r="D301" s="23">
        <f>IF(A301="","",IF(AND(J301="P&amp;I",A301&gt;=Calculator!C9),MIN(Calculator!C8,MAX(0,B301-C301+F301)),0))</f>
        <v>0</v>
      </c>
      <c r="E301" s="23">
        <f t="shared" si="20"/>
        <v>7067.7919727509352</v>
      </c>
      <c r="F301" s="23">
        <f>IF(A301="","",IF(Calculator!C12="Beginning of Period",MAX(0,(B301-IF(J301="IO",Calculator!C22,Calculator!C21))*Calculator!C17),B301*Calculator!C17))</f>
        <v>438.03675429176297</v>
      </c>
      <c r="G301" s="23">
        <f t="shared" si="21"/>
        <v>6629.7552184591723</v>
      </c>
      <c r="H301" s="23">
        <f t="shared" si="22"/>
        <v>68462.259802985602</v>
      </c>
      <c r="I301" s="23">
        <f t="shared" si="24"/>
        <v>1118121.9319007574</v>
      </c>
      <c r="J301" s="24" t="str">
        <f>IF(A301="","",IF(A301&lt;=Calculator!C19,"IO","P&amp;I"))</f>
        <v>P&amp;I</v>
      </c>
    </row>
    <row r="302" spans="1:10" ht="15.75" customHeight="1" x14ac:dyDescent="0.25">
      <c r="A302" s="19">
        <f>IF(291&lt;=Calculator!C18,291,"")</f>
        <v>291</v>
      </c>
      <c r="B302" s="20">
        <f t="shared" si="23"/>
        <v>68462.259802985602</v>
      </c>
      <c r="C302" s="20">
        <f>IF(A302="","",IF(J302="IO",Calculator!C22,IF(B302&gt;0,MIN(Calculator!C21,B302*(1+Calculator!C17)),0)))</f>
        <v>7067.7919727509352</v>
      </c>
      <c r="D302" s="20">
        <f>IF(A302="","",IF(AND(J302="P&amp;I",A302&gt;=Calculator!C9),MIN(Calculator!C8,MAX(0,B302-C302+F302)),0))</f>
        <v>0</v>
      </c>
      <c r="E302" s="20">
        <f t="shared" si="20"/>
        <v>7067.7919727509352</v>
      </c>
      <c r="F302" s="20">
        <f>IF(A302="","",IF(Calculator!C12="Beginning of Period",MAX(0,(B302-IF(J302="IO",Calculator!C22,Calculator!C21))*Calculator!C17),B302*Calculator!C17))</f>
        <v>399.36318218408428</v>
      </c>
      <c r="G302" s="20">
        <f t="shared" si="21"/>
        <v>6668.4287905668507</v>
      </c>
      <c r="H302" s="20">
        <f t="shared" si="22"/>
        <v>61793.831012418748</v>
      </c>
      <c r="I302" s="20">
        <f t="shared" si="24"/>
        <v>1118521.2950829414</v>
      </c>
      <c r="J302" s="21" t="str">
        <f>IF(A302="","",IF(A302&lt;=Calculator!C19,"IO","P&amp;I"))</f>
        <v>P&amp;I</v>
      </c>
    </row>
    <row r="303" spans="1:10" ht="15.75" customHeight="1" x14ac:dyDescent="0.25">
      <c r="A303" s="22">
        <f>IF(292&lt;=Calculator!C18,292,"")</f>
        <v>292</v>
      </c>
      <c r="B303" s="23">
        <f t="shared" si="23"/>
        <v>61793.831012418748</v>
      </c>
      <c r="C303" s="23">
        <f>IF(A303="","",IF(J303="IO",Calculator!C22,IF(B303&gt;0,MIN(Calculator!C21,B303*(1+Calculator!C17)),0)))</f>
        <v>7067.7919727509352</v>
      </c>
      <c r="D303" s="23">
        <f>IF(A303="","",IF(AND(J303="P&amp;I",A303&gt;=Calculator!C9),MIN(Calculator!C8,MAX(0,B303-C303+F303)),0))</f>
        <v>0</v>
      </c>
      <c r="E303" s="23">
        <f t="shared" si="20"/>
        <v>7067.7919727509352</v>
      </c>
      <c r="F303" s="23">
        <f>IF(A303="","",IF(Calculator!C12="Beginning of Period",MAX(0,(B303-IF(J303="IO",Calculator!C22,Calculator!C21))*Calculator!C17),B303*Calculator!C17))</f>
        <v>360.46401423911084</v>
      </c>
      <c r="G303" s="23">
        <f t="shared" si="21"/>
        <v>6707.3279585118244</v>
      </c>
      <c r="H303" s="23">
        <f t="shared" si="22"/>
        <v>55086.503053906927</v>
      </c>
      <c r="I303" s="23">
        <f t="shared" si="24"/>
        <v>1118881.7590971806</v>
      </c>
      <c r="J303" s="24" t="str">
        <f>IF(A303="","",IF(A303&lt;=Calculator!C19,"IO","P&amp;I"))</f>
        <v>P&amp;I</v>
      </c>
    </row>
    <row r="304" spans="1:10" ht="15.75" customHeight="1" x14ac:dyDescent="0.25">
      <c r="A304" s="19">
        <f>IF(293&lt;=Calculator!C18,293,"")</f>
        <v>293</v>
      </c>
      <c r="B304" s="20">
        <f t="shared" si="23"/>
        <v>55086.503053906927</v>
      </c>
      <c r="C304" s="20">
        <f>IF(A304="","",IF(J304="IO",Calculator!C22,IF(B304&gt;0,MIN(Calculator!C21,B304*(1+Calculator!C17)),0)))</f>
        <v>7067.7919727509352</v>
      </c>
      <c r="D304" s="20">
        <f>IF(A304="","",IF(AND(J304="P&amp;I",A304&gt;=Calculator!C9),MIN(Calculator!C8,MAX(0,B304-C304+F304)),0))</f>
        <v>0</v>
      </c>
      <c r="E304" s="20">
        <f t="shared" si="20"/>
        <v>7067.7919727509352</v>
      </c>
      <c r="F304" s="20">
        <f>IF(A304="","",IF(Calculator!C12="Beginning of Period",MAX(0,(B304-IF(J304="IO",Calculator!C22,Calculator!C21))*Calculator!C17),B304*Calculator!C17))</f>
        <v>321.33793448112505</v>
      </c>
      <c r="G304" s="20">
        <f t="shared" si="21"/>
        <v>6746.4540382698106</v>
      </c>
      <c r="H304" s="20">
        <f t="shared" si="22"/>
        <v>48340.049015637116</v>
      </c>
      <c r="I304" s="20">
        <f t="shared" si="24"/>
        <v>1119203.0970316618</v>
      </c>
      <c r="J304" s="21" t="str">
        <f>IF(A304="","",IF(A304&lt;=Calculator!C19,"IO","P&amp;I"))</f>
        <v>P&amp;I</v>
      </c>
    </row>
    <row r="305" spans="1:10" ht="15.75" customHeight="1" x14ac:dyDescent="0.25">
      <c r="A305" s="22">
        <f>IF(294&lt;=Calculator!C18,294,"")</f>
        <v>294</v>
      </c>
      <c r="B305" s="23">
        <f t="shared" si="23"/>
        <v>48340.049015637116</v>
      </c>
      <c r="C305" s="23">
        <f>IF(A305="","",IF(J305="IO",Calculator!C22,IF(B305&gt;0,MIN(Calculator!C21,B305*(1+Calculator!C17)),0)))</f>
        <v>7067.7919727509352</v>
      </c>
      <c r="D305" s="23">
        <f>IF(A305="","",IF(AND(J305="P&amp;I",A305&gt;=Calculator!C9),MIN(Calculator!C8,MAX(0,B305-C305+F305)),0))</f>
        <v>0</v>
      </c>
      <c r="E305" s="23">
        <f t="shared" si="20"/>
        <v>7067.7919727509352</v>
      </c>
      <c r="F305" s="23">
        <f>IF(A305="","",IF(Calculator!C12="Beginning of Period",MAX(0,(B305-IF(J305="IO",Calculator!C22,Calculator!C21))*Calculator!C17),B305*Calculator!C17))</f>
        <v>281.9836192578843</v>
      </c>
      <c r="G305" s="23">
        <f t="shared" si="21"/>
        <v>6785.8083534930511</v>
      </c>
      <c r="H305" s="23">
        <f t="shared" si="22"/>
        <v>41554.240662144068</v>
      </c>
      <c r="I305" s="23">
        <f t="shared" si="24"/>
        <v>1119485.0806509196</v>
      </c>
      <c r="J305" s="24" t="str">
        <f>IF(A305="","",IF(A305&lt;=Calculator!C19,"IO","P&amp;I"))</f>
        <v>P&amp;I</v>
      </c>
    </row>
    <row r="306" spans="1:10" ht="15.75" customHeight="1" x14ac:dyDescent="0.25">
      <c r="A306" s="19">
        <f>IF(295&lt;=Calculator!C18,295,"")</f>
        <v>295</v>
      </c>
      <c r="B306" s="20">
        <f t="shared" si="23"/>
        <v>41554.240662144068</v>
      </c>
      <c r="C306" s="20">
        <f>IF(A306="","",IF(J306="IO",Calculator!C22,IF(B306&gt;0,MIN(Calculator!C21,B306*(1+Calculator!C17)),0)))</f>
        <v>7067.7919727509352</v>
      </c>
      <c r="D306" s="20">
        <f>IF(A306="","",IF(AND(J306="P&amp;I",A306&gt;=Calculator!C9),MIN(Calculator!C8,MAX(0,B306-C306+F306)),0))</f>
        <v>0</v>
      </c>
      <c r="E306" s="20">
        <f t="shared" si="20"/>
        <v>7067.7919727509352</v>
      </c>
      <c r="F306" s="20">
        <f>IF(A306="","",IF(Calculator!C12="Beginning of Period",MAX(0,(B306-IF(J306="IO",Calculator!C22,Calculator!C21))*Calculator!C17),B306*Calculator!C17))</f>
        <v>242.39973719584137</v>
      </c>
      <c r="G306" s="20">
        <f t="shared" si="21"/>
        <v>6825.392235555094</v>
      </c>
      <c r="H306" s="20">
        <f t="shared" si="22"/>
        <v>34728.848426588971</v>
      </c>
      <c r="I306" s="20">
        <f t="shared" si="24"/>
        <v>1119727.4803881154</v>
      </c>
      <c r="J306" s="21" t="str">
        <f>IF(A306="","",IF(A306&lt;=Calculator!C19,"IO","P&amp;I"))</f>
        <v>P&amp;I</v>
      </c>
    </row>
    <row r="307" spans="1:10" ht="15.75" customHeight="1" x14ac:dyDescent="0.25">
      <c r="A307" s="22">
        <f>IF(296&lt;=Calculator!C18,296,"")</f>
        <v>296</v>
      </c>
      <c r="B307" s="23">
        <f t="shared" si="23"/>
        <v>34728.848426588971</v>
      </c>
      <c r="C307" s="23">
        <f>IF(A307="","",IF(J307="IO",Calculator!C22,IF(B307&gt;0,MIN(Calculator!C21,B307*(1+Calculator!C17)),0)))</f>
        <v>7067.7919727509352</v>
      </c>
      <c r="D307" s="23">
        <f>IF(A307="","",IF(AND(J307="P&amp;I",A307&gt;=Calculator!C9),MIN(Calculator!C8,MAX(0,B307-C307+F307)),0))</f>
        <v>0</v>
      </c>
      <c r="E307" s="23">
        <f t="shared" si="20"/>
        <v>7067.7919727509352</v>
      </c>
      <c r="F307" s="23">
        <f>IF(A307="","",IF(Calculator!C12="Beginning of Period",MAX(0,(B307-IF(J307="IO",Calculator!C22,Calculator!C21))*Calculator!C17),B307*Calculator!C17))</f>
        <v>202.58494915510315</v>
      </c>
      <c r="G307" s="23">
        <f t="shared" si="21"/>
        <v>6865.2070235958317</v>
      </c>
      <c r="H307" s="23">
        <f t="shared" si="22"/>
        <v>27863.64140299314</v>
      </c>
      <c r="I307" s="23">
        <f t="shared" si="24"/>
        <v>1119930.0653372705</v>
      </c>
      <c r="J307" s="24" t="str">
        <f>IF(A307="","",IF(A307&lt;=Calculator!C19,"IO","P&amp;I"))</f>
        <v>P&amp;I</v>
      </c>
    </row>
    <row r="308" spans="1:10" ht="15.75" customHeight="1" x14ac:dyDescent="0.25">
      <c r="A308" s="19">
        <f>IF(297&lt;=Calculator!C18,297,"")</f>
        <v>297</v>
      </c>
      <c r="B308" s="20">
        <f t="shared" si="23"/>
        <v>27863.64140299314</v>
      </c>
      <c r="C308" s="20">
        <f>IF(A308="","",IF(J308="IO",Calculator!C22,IF(B308&gt;0,MIN(Calculator!C21,B308*(1+Calculator!C17)),0)))</f>
        <v>7067.7919727509352</v>
      </c>
      <c r="D308" s="20">
        <f>IF(A308="","",IF(AND(J308="P&amp;I",A308&gt;=Calculator!C9),MIN(Calculator!C8,MAX(0,B308-C308+F308)),0))</f>
        <v>0</v>
      </c>
      <c r="E308" s="20">
        <f t="shared" si="20"/>
        <v>7067.7919727509352</v>
      </c>
      <c r="F308" s="20">
        <f>IF(A308="","",IF(Calculator!C12="Beginning of Period",MAX(0,(B308-IF(J308="IO",Calculator!C22,Calculator!C21))*Calculator!C17),B308*Calculator!C17))</f>
        <v>162.5379081841273</v>
      </c>
      <c r="G308" s="20">
        <f t="shared" si="21"/>
        <v>6905.2540645668078</v>
      </c>
      <c r="H308" s="20">
        <f t="shared" si="22"/>
        <v>20958.387338426332</v>
      </c>
      <c r="I308" s="20">
        <f t="shared" si="24"/>
        <v>1120092.6032454546</v>
      </c>
      <c r="J308" s="21" t="str">
        <f>IF(A308="","",IF(A308&lt;=Calculator!C19,"IO","P&amp;I"))</f>
        <v>P&amp;I</v>
      </c>
    </row>
    <row r="309" spans="1:10" ht="15.75" customHeight="1" x14ac:dyDescent="0.25">
      <c r="A309" s="22">
        <f>IF(298&lt;=Calculator!C18,298,"")</f>
        <v>298</v>
      </c>
      <c r="B309" s="23">
        <f t="shared" si="23"/>
        <v>20958.387338426332</v>
      </c>
      <c r="C309" s="23">
        <f>IF(A309="","",IF(J309="IO",Calculator!C22,IF(B309&gt;0,MIN(Calculator!C21,B309*(1+Calculator!C17)),0)))</f>
        <v>7067.7919727509352</v>
      </c>
      <c r="D309" s="23">
        <f>IF(A309="","",IF(AND(J309="P&amp;I",A309&gt;=Calculator!C9),MIN(Calculator!C8,MAX(0,B309-C309+F309)),0))</f>
        <v>0</v>
      </c>
      <c r="E309" s="23">
        <f t="shared" si="20"/>
        <v>7067.7919727509352</v>
      </c>
      <c r="F309" s="23">
        <f>IF(A309="","",IF(Calculator!C12="Beginning of Period",MAX(0,(B309-IF(J309="IO",Calculator!C22,Calculator!C21))*Calculator!C17),B309*Calculator!C17))</f>
        <v>122.2572594741541</v>
      </c>
      <c r="G309" s="23">
        <f t="shared" si="21"/>
        <v>6945.5347132767811</v>
      </c>
      <c r="H309" s="23">
        <f t="shared" si="22"/>
        <v>14012.85262514955</v>
      </c>
      <c r="I309" s="23">
        <f t="shared" si="24"/>
        <v>1120214.8605049287</v>
      </c>
      <c r="J309" s="24" t="str">
        <f>IF(A309="","",IF(A309&lt;=Calculator!C19,"IO","P&amp;I"))</f>
        <v>P&amp;I</v>
      </c>
    </row>
    <row r="310" spans="1:10" ht="15.75" customHeight="1" x14ac:dyDescent="0.25">
      <c r="A310" s="19">
        <f>IF(299&lt;=Calculator!C18,299,"")</f>
        <v>299</v>
      </c>
      <c r="B310" s="20">
        <f t="shared" si="23"/>
        <v>14012.85262514955</v>
      </c>
      <c r="C310" s="20">
        <f>IF(A310="","",IF(J310="IO",Calculator!C22,IF(B310&gt;0,MIN(Calculator!C21,B310*(1+Calculator!C17)),0)))</f>
        <v>7067.7919727509352</v>
      </c>
      <c r="D310" s="20">
        <f>IF(A310="","",IF(AND(J310="P&amp;I",A310&gt;=Calculator!C9),MIN(Calculator!C8,MAX(0,B310-C310+F310)),0))</f>
        <v>0</v>
      </c>
      <c r="E310" s="20">
        <f t="shared" si="20"/>
        <v>7067.7919727509352</v>
      </c>
      <c r="F310" s="20">
        <f>IF(A310="","",IF(Calculator!C12="Beginning of Period",MAX(0,(B310-IF(J310="IO",Calculator!C22,Calculator!C21))*Calculator!C17),B310*Calculator!C17))</f>
        <v>81.741640313372699</v>
      </c>
      <c r="G310" s="20">
        <f t="shared" si="21"/>
        <v>6986.0503324375622</v>
      </c>
      <c r="H310" s="20">
        <f t="shared" si="22"/>
        <v>7026.8022927119873</v>
      </c>
      <c r="I310" s="20">
        <f t="shared" si="24"/>
        <v>1120296.602145242</v>
      </c>
      <c r="J310" s="21" t="str">
        <f>IF(A310="","",IF(A310&lt;=Calculator!C19,"IO","P&amp;I"))</f>
        <v>P&amp;I</v>
      </c>
    </row>
    <row r="311" spans="1:10" ht="15.75" customHeight="1" x14ac:dyDescent="0.25">
      <c r="A311" s="22">
        <f>IF(300&lt;=Calculator!C18,300,"")</f>
        <v>300</v>
      </c>
      <c r="B311" s="23">
        <f t="shared" si="23"/>
        <v>7026.8022927119873</v>
      </c>
      <c r="C311" s="23">
        <f>IF(A311="","",IF(J311="IO",Calculator!C22,IF(B311&gt;0,MIN(Calculator!C21,B311*(1+Calculator!C17)),0)))</f>
        <v>7067.7919727509352</v>
      </c>
      <c r="D311" s="23">
        <f>IF(A311="","",IF(AND(J311="P&amp;I",A311&gt;=Calculator!C9),MIN(Calculator!C8,MAX(0,B311-C311+F311)),0))</f>
        <v>0</v>
      </c>
      <c r="E311" s="23">
        <f t="shared" si="20"/>
        <v>7067.7919727509352</v>
      </c>
      <c r="F311" s="23">
        <f>IF(A311="","",IF(Calculator!C12="Beginning of Period",MAX(0,(B311-IF(J311="IO",Calculator!C22,Calculator!C21))*Calculator!C17),B311*Calculator!C17))</f>
        <v>40.98968004082009</v>
      </c>
      <c r="G311" s="23">
        <f t="shared" si="21"/>
        <v>7026.8022927101147</v>
      </c>
      <c r="H311" s="23">
        <f t="shared" si="22"/>
        <v>1.8726495909504592E-9</v>
      </c>
      <c r="I311" s="23">
        <f t="shared" si="24"/>
        <v>1120337.5918252829</v>
      </c>
      <c r="J311" s="24" t="str">
        <f>IF(A311="","",IF(A311&lt;=Calculator!C19,"IO","P&amp;I"))</f>
        <v>P&amp;I</v>
      </c>
    </row>
    <row r="312" spans="1:10" ht="15.75" customHeight="1" x14ac:dyDescent="0.25">
      <c r="A312" s="19" t="str">
        <f>IF(301&lt;=Calculator!C18,301,"")</f>
        <v/>
      </c>
      <c r="B312" s="20" t="str">
        <f t="shared" si="23"/>
        <v/>
      </c>
      <c r="C312" s="20" t="str">
        <f>IF(A312="","",IF(J312="IO",Calculator!C22,IF(B312&gt;0,MIN(Calculator!C21,B312*(1+Calculator!C17)),0)))</f>
        <v/>
      </c>
      <c r="D312" s="20" t="str">
        <f>IF(A312="","",IF(AND(J312="P&amp;I",A312&gt;=Calculator!C9),MIN(Calculator!C8,MAX(0,B312-C312+F312)),0))</f>
        <v/>
      </c>
      <c r="E312" s="20" t="str">
        <f t="shared" si="20"/>
        <v/>
      </c>
      <c r="F312" s="20" t="str">
        <f>IF(A312="","",IF(Calculator!C12="Beginning of Period",MAX(0,(B312-IF(J312="IO",Calculator!C22,Calculator!C21))*Calculator!C17),B312*Calculator!C17))</f>
        <v/>
      </c>
      <c r="G312" s="20" t="str">
        <f t="shared" si="21"/>
        <v/>
      </c>
      <c r="H312" s="20" t="str">
        <f t="shared" si="22"/>
        <v/>
      </c>
      <c r="I312" s="20" t="str">
        <f t="shared" si="24"/>
        <v/>
      </c>
      <c r="J312" s="21" t="str">
        <f>IF(A312="","",IF(A312&lt;=Calculator!C19,"IO","P&amp;I"))</f>
        <v/>
      </c>
    </row>
    <row r="313" spans="1:10" ht="15.75" customHeight="1" x14ac:dyDescent="0.25">
      <c r="A313" s="22" t="str">
        <f>IF(302&lt;=Calculator!C18,302,"")</f>
        <v/>
      </c>
      <c r="B313" s="23" t="str">
        <f t="shared" si="23"/>
        <v/>
      </c>
      <c r="C313" s="23" t="str">
        <f>IF(A313="","",IF(J313="IO",Calculator!C22,IF(B313&gt;0,MIN(Calculator!C21,B313*(1+Calculator!C17)),0)))</f>
        <v/>
      </c>
      <c r="D313" s="23" t="str">
        <f>IF(A313="","",IF(AND(J313="P&amp;I",A313&gt;=Calculator!C9),MIN(Calculator!C8,MAX(0,B313-C313+F313)),0))</f>
        <v/>
      </c>
      <c r="E313" s="23" t="str">
        <f t="shared" si="20"/>
        <v/>
      </c>
      <c r="F313" s="23" t="str">
        <f>IF(A313="","",IF(Calculator!C12="Beginning of Period",MAX(0,(B313-IF(J313="IO",Calculator!C22,Calculator!C21))*Calculator!C17),B313*Calculator!C17))</f>
        <v/>
      </c>
      <c r="G313" s="23" t="str">
        <f t="shared" si="21"/>
        <v/>
      </c>
      <c r="H313" s="23" t="str">
        <f t="shared" si="22"/>
        <v/>
      </c>
      <c r="I313" s="23" t="str">
        <f t="shared" si="24"/>
        <v/>
      </c>
      <c r="J313" s="24" t="str">
        <f>IF(A313="","",IF(A313&lt;=Calculator!C19,"IO","P&amp;I"))</f>
        <v/>
      </c>
    </row>
    <row r="314" spans="1:10" ht="15.75" customHeight="1" x14ac:dyDescent="0.25">
      <c r="A314" s="19" t="str">
        <f>IF(303&lt;=Calculator!C18,303,"")</f>
        <v/>
      </c>
      <c r="B314" s="20" t="str">
        <f t="shared" si="23"/>
        <v/>
      </c>
      <c r="C314" s="20" t="str">
        <f>IF(A314="","",IF(J314="IO",Calculator!C22,IF(B314&gt;0,MIN(Calculator!C21,B314*(1+Calculator!C17)),0)))</f>
        <v/>
      </c>
      <c r="D314" s="20" t="str">
        <f>IF(A314="","",IF(AND(J314="P&amp;I",A314&gt;=Calculator!C9),MIN(Calculator!C8,MAX(0,B314-C314+F314)),0))</f>
        <v/>
      </c>
      <c r="E314" s="20" t="str">
        <f t="shared" si="20"/>
        <v/>
      </c>
      <c r="F314" s="20" t="str">
        <f>IF(A314="","",IF(Calculator!C12="Beginning of Period",MAX(0,(B314-IF(J314="IO",Calculator!C22,Calculator!C21))*Calculator!C17),B314*Calculator!C17))</f>
        <v/>
      </c>
      <c r="G314" s="20" t="str">
        <f t="shared" si="21"/>
        <v/>
      </c>
      <c r="H314" s="20" t="str">
        <f t="shared" si="22"/>
        <v/>
      </c>
      <c r="I314" s="20" t="str">
        <f t="shared" si="24"/>
        <v/>
      </c>
      <c r="J314" s="21" t="str">
        <f>IF(A314="","",IF(A314&lt;=Calculator!C19,"IO","P&amp;I"))</f>
        <v/>
      </c>
    </row>
    <row r="315" spans="1:10" ht="15.75" customHeight="1" x14ac:dyDescent="0.25">
      <c r="A315" s="22" t="str">
        <f>IF(304&lt;=Calculator!C18,304,"")</f>
        <v/>
      </c>
      <c r="B315" s="23" t="str">
        <f t="shared" si="23"/>
        <v/>
      </c>
      <c r="C315" s="23" t="str">
        <f>IF(A315="","",IF(J315="IO",Calculator!C22,IF(B315&gt;0,MIN(Calculator!C21,B315*(1+Calculator!C17)),0)))</f>
        <v/>
      </c>
      <c r="D315" s="23" t="str">
        <f>IF(A315="","",IF(AND(J315="P&amp;I",A315&gt;=Calculator!C9),MIN(Calculator!C8,MAX(0,B315-C315+F315)),0))</f>
        <v/>
      </c>
      <c r="E315" s="23" t="str">
        <f t="shared" si="20"/>
        <v/>
      </c>
      <c r="F315" s="23" t="str">
        <f>IF(A315="","",IF(Calculator!C12="Beginning of Period",MAX(0,(B315-IF(J315="IO",Calculator!C22,Calculator!C21))*Calculator!C17),B315*Calculator!C17))</f>
        <v/>
      </c>
      <c r="G315" s="23" t="str">
        <f t="shared" si="21"/>
        <v/>
      </c>
      <c r="H315" s="23" t="str">
        <f t="shared" si="22"/>
        <v/>
      </c>
      <c r="I315" s="23" t="str">
        <f t="shared" si="24"/>
        <v/>
      </c>
      <c r="J315" s="24" t="str">
        <f>IF(A315="","",IF(A315&lt;=Calculator!C19,"IO","P&amp;I"))</f>
        <v/>
      </c>
    </row>
    <row r="316" spans="1:10" ht="15.75" customHeight="1" x14ac:dyDescent="0.25">
      <c r="A316" s="19" t="str">
        <f>IF(305&lt;=Calculator!C18,305,"")</f>
        <v/>
      </c>
      <c r="B316" s="20" t="str">
        <f t="shared" si="23"/>
        <v/>
      </c>
      <c r="C316" s="20" t="str">
        <f>IF(A316="","",IF(J316="IO",Calculator!C22,IF(B316&gt;0,MIN(Calculator!C21,B316*(1+Calculator!C17)),0)))</f>
        <v/>
      </c>
      <c r="D316" s="20" t="str">
        <f>IF(A316="","",IF(AND(J316="P&amp;I",A316&gt;=Calculator!C9),MIN(Calculator!C8,MAX(0,B316-C316+F316)),0))</f>
        <v/>
      </c>
      <c r="E316" s="20" t="str">
        <f t="shared" si="20"/>
        <v/>
      </c>
      <c r="F316" s="20" t="str">
        <f>IF(A316="","",IF(Calculator!C12="Beginning of Period",MAX(0,(B316-IF(J316="IO",Calculator!C22,Calculator!C21))*Calculator!C17),B316*Calculator!C17))</f>
        <v/>
      </c>
      <c r="G316" s="20" t="str">
        <f t="shared" si="21"/>
        <v/>
      </c>
      <c r="H316" s="20" t="str">
        <f t="shared" si="22"/>
        <v/>
      </c>
      <c r="I316" s="20" t="str">
        <f t="shared" si="24"/>
        <v/>
      </c>
      <c r="J316" s="21" t="str">
        <f>IF(A316="","",IF(A316&lt;=Calculator!C19,"IO","P&amp;I"))</f>
        <v/>
      </c>
    </row>
    <row r="317" spans="1:10" ht="15.75" customHeight="1" x14ac:dyDescent="0.25">
      <c r="A317" s="22" t="str">
        <f>IF(306&lt;=Calculator!C18,306,"")</f>
        <v/>
      </c>
      <c r="B317" s="23" t="str">
        <f t="shared" si="23"/>
        <v/>
      </c>
      <c r="C317" s="23" t="str">
        <f>IF(A317="","",IF(J317="IO",Calculator!C22,IF(B317&gt;0,MIN(Calculator!C21,B317*(1+Calculator!C17)),0)))</f>
        <v/>
      </c>
      <c r="D317" s="23" t="str">
        <f>IF(A317="","",IF(AND(J317="P&amp;I",A317&gt;=Calculator!C9),MIN(Calculator!C8,MAX(0,B317-C317+F317)),0))</f>
        <v/>
      </c>
      <c r="E317" s="23" t="str">
        <f t="shared" si="20"/>
        <v/>
      </c>
      <c r="F317" s="23" t="str">
        <f>IF(A317="","",IF(Calculator!C12="Beginning of Period",MAX(0,(B317-IF(J317="IO",Calculator!C22,Calculator!C21))*Calculator!C17),B317*Calculator!C17))</f>
        <v/>
      </c>
      <c r="G317" s="23" t="str">
        <f t="shared" si="21"/>
        <v/>
      </c>
      <c r="H317" s="23" t="str">
        <f t="shared" si="22"/>
        <v/>
      </c>
      <c r="I317" s="23" t="str">
        <f t="shared" si="24"/>
        <v/>
      </c>
      <c r="J317" s="24" t="str">
        <f>IF(A317="","",IF(A317&lt;=Calculator!C19,"IO","P&amp;I"))</f>
        <v/>
      </c>
    </row>
    <row r="318" spans="1:10" ht="15.75" customHeight="1" x14ac:dyDescent="0.25">
      <c r="A318" s="19" t="str">
        <f>IF(307&lt;=Calculator!C18,307,"")</f>
        <v/>
      </c>
      <c r="B318" s="20" t="str">
        <f t="shared" si="23"/>
        <v/>
      </c>
      <c r="C318" s="20" t="str">
        <f>IF(A318="","",IF(J318="IO",Calculator!C22,IF(B318&gt;0,MIN(Calculator!C21,B318*(1+Calculator!C17)),0)))</f>
        <v/>
      </c>
      <c r="D318" s="20" t="str">
        <f>IF(A318="","",IF(AND(J318="P&amp;I",A318&gt;=Calculator!C9),MIN(Calculator!C8,MAX(0,B318-C318+F318)),0))</f>
        <v/>
      </c>
      <c r="E318" s="20" t="str">
        <f t="shared" si="20"/>
        <v/>
      </c>
      <c r="F318" s="20" t="str">
        <f>IF(A318="","",IF(Calculator!C12="Beginning of Period",MAX(0,(B318-IF(J318="IO",Calculator!C22,Calculator!C21))*Calculator!C17),B318*Calculator!C17))</f>
        <v/>
      </c>
      <c r="G318" s="20" t="str">
        <f t="shared" si="21"/>
        <v/>
      </c>
      <c r="H318" s="20" t="str">
        <f t="shared" si="22"/>
        <v/>
      </c>
      <c r="I318" s="20" t="str">
        <f t="shared" si="24"/>
        <v/>
      </c>
      <c r="J318" s="21" t="str">
        <f>IF(A318="","",IF(A318&lt;=Calculator!C19,"IO","P&amp;I"))</f>
        <v/>
      </c>
    </row>
    <row r="319" spans="1:10" ht="15.75" customHeight="1" x14ac:dyDescent="0.25">
      <c r="A319" s="22" t="str">
        <f>IF(308&lt;=Calculator!C18,308,"")</f>
        <v/>
      </c>
      <c r="B319" s="23" t="str">
        <f t="shared" si="23"/>
        <v/>
      </c>
      <c r="C319" s="23" t="str">
        <f>IF(A319="","",IF(J319="IO",Calculator!C22,IF(B319&gt;0,MIN(Calculator!C21,B319*(1+Calculator!C17)),0)))</f>
        <v/>
      </c>
      <c r="D319" s="23" t="str">
        <f>IF(A319="","",IF(AND(J319="P&amp;I",A319&gt;=Calculator!C9),MIN(Calculator!C8,MAX(0,B319-C319+F319)),0))</f>
        <v/>
      </c>
      <c r="E319" s="23" t="str">
        <f t="shared" si="20"/>
        <v/>
      </c>
      <c r="F319" s="23" t="str">
        <f>IF(A319="","",IF(Calculator!C12="Beginning of Period",MAX(0,(B319-IF(J319="IO",Calculator!C22,Calculator!C21))*Calculator!C17),B319*Calculator!C17))</f>
        <v/>
      </c>
      <c r="G319" s="23" t="str">
        <f t="shared" si="21"/>
        <v/>
      </c>
      <c r="H319" s="23" t="str">
        <f t="shared" si="22"/>
        <v/>
      </c>
      <c r="I319" s="23" t="str">
        <f t="shared" si="24"/>
        <v/>
      </c>
      <c r="J319" s="24" t="str">
        <f>IF(A319="","",IF(A319&lt;=Calculator!C19,"IO","P&amp;I"))</f>
        <v/>
      </c>
    </row>
    <row r="320" spans="1:10" ht="15.75" customHeight="1" x14ac:dyDescent="0.25">
      <c r="A320" s="19" t="str">
        <f>IF(309&lt;=Calculator!C18,309,"")</f>
        <v/>
      </c>
      <c r="B320" s="20" t="str">
        <f t="shared" si="23"/>
        <v/>
      </c>
      <c r="C320" s="20" t="str">
        <f>IF(A320="","",IF(J320="IO",Calculator!C22,IF(B320&gt;0,MIN(Calculator!C21,B320*(1+Calculator!C17)),0)))</f>
        <v/>
      </c>
      <c r="D320" s="20" t="str">
        <f>IF(A320="","",IF(AND(J320="P&amp;I",A320&gt;=Calculator!C9),MIN(Calculator!C8,MAX(0,B320-C320+F320)),0))</f>
        <v/>
      </c>
      <c r="E320" s="20" t="str">
        <f t="shared" si="20"/>
        <v/>
      </c>
      <c r="F320" s="20" t="str">
        <f>IF(A320="","",IF(Calculator!C12="Beginning of Period",MAX(0,(B320-IF(J320="IO",Calculator!C22,Calculator!C21))*Calculator!C17),B320*Calculator!C17))</f>
        <v/>
      </c>
      <c r="G320" s="20" t="str">
        <f t="shared" si="21"/>
        <v/>
      </c>
      <c r="H320" s="20" t="str">
        <f t="shared" si="22"/>
        <v/>
      </c>
      <c r="I320" s="20" t="str">
        <f t="shared" si="24"/>
        <v/>
      </c>
      <c r="J320" s="21" t="str">
        <f>IF(A320="","",IF(A320&lt;=Calculator!C19,"IO","P&amp;I"))</f>
        <v/>
      </c>
    </row>
    <row r="321" spans="1:10" ht="15.75" customHeight="1" x14ac:dyDescent="0.25">
      <c r="A321" s="22" t="str">
        <f>IF(310&lt;=Calculator!C18,310,"")</f>
        <v/>
      </c>
      <c r="B321" s="23" t="str">
        <f t="shared" si="23"/>
        <v/>
      </c>
      <c r="C321" s="23" t="str">
        <f>IF(A321="","",IF(J321="IO",Calculator!C22,IF(B321&gt;0,MIN(Calculator!C21,B321*(1+Calculator!C17)),0)))</f>
        <v/>
      </c>
      <c r="D321" s="23" t="str">
        <f>IF(A321="","",IF(AND(J321="P&amp;I",A321&gt;=Calculator!C9),MIN(Calculator!C8,MAX(0,B321-C321+F321)),0))</f>
        <v/>
      </c>
      <c r="E321" s="23" t="str">
        <f t="shared" si="20"/>
        <v/>
      </c>
      <c r="F321" s="23" t="str">
        <f>IF(A321="","",IF(Calculator!C12="Beginning of Period",MAX(0,(B321-IF(J321="IO",Calculator!C22,Calculator!C21))*Calculator!C17),B321*Calculator!C17))</f>
        <v/>
      </c>
      <c r="G321" s="23" t="str">
        <f t="shared" si="21"/>
        <v/>
      </c>
      <c r="H321" s="23" t="str">
        <f t="shared" si="22"/>
        <v/>
      </c>
      <c r="I321" s="23" t="str">
        <f t="shared" si="24"/>
        <v/>
      </c>
      <c r="J321" s="24" t="str">
        <f>IF(A321="","",IF(A321&lt;=Calculator!C19,"IO","P&amp;I"))</f>
        <v/>
      </c>
    </row>
    <row r="322" spans="1:10" ht="15.75" customHeight="1" x14ac:dyDescent="0.25">
      <c r="A322" s="19" t="str">
        <f>IF(311&lt;=Calculator!C18,311,"")</f>
        <v/>
      </c>
      <c r="B322" s="20" t="str">
        <f t="shared" si="23"/>
        <v/>
      </c>
      <c r="C322" s="20" t="str">
        <f>IF(A322="","",IF(J322="IO",Calculator!C22,IF(B322&gt;0,MIN(Calculator!C21,B322*(1+Calculator!C17)),0)))</f>
        <v/>
      </c>
      <c r="D322" s="20" t="str">
        <f>IF(A322="","",IF(AND(J322="P&amp;I",A322&gt;=Calculator!C9),MIN(Calculator!C8,MAX(0,B322-C322+F322)),0))</f>
        <v/>
      </c>
      <c r="E322" s="20" t="str">
        <f t="shared" si="20"/>
        <v/>
      </c>
      <c r="F322" s="20" t="str">
        <f>IF(A322="","",IF(Calculator!C12="Beginning of Period",MAX(0,(B322-IF(J322="IO",Calculator!C22,Calculator!C21))*Calculator!C17),B322*Calculator!C17))</f>
        <v/>
      </c>
      <c r="G322" s="20" t="str">
        <f t="shared" si="21"/>
        <v/>
      </c>
      <c r="H322" s="20" t="str">
        <f t="shared" si="22"/>
        <v/>
      </c>
      <c r="I322" s="20" t="str">
        <f t="shared" si="24"/>
        <v/>
      </c>
      <c r="J322" s="21" t="str">
        <f>IF(A322="","",IF(A322&lt;=Calculator!C19,"IO","P&amp;I"))</f>
        <v/>
      </c>
    </row>
    <row r="323" spans="1:10" ht="15.75" customHeight="1" x14ac:dyDescent="0.25">
      <c r="A323" s="22" t="str">
        <f>IF(312&lt;=Calculator!C18,312,"")</f>
        <v/>
      </c>
      <c r="B323" s="23" t="str">
        <f t="shared" si="23"/>
        <v/>
      </c>
      <c r="C323" s="23" t="str">
        <f>IF(A323="","",IF(J323="IO",Calculator!C22,IF(B323&gt;0,MIN(Calculator!C21,B323*(1+Calculator!C17)),0)))</f>
        <v/>
      </c>
      <c r="D323" s="23" t="str">
        <f>IF(A323="","",IF(AND(J323="P&amp;I",A323&gt;=Calculator!C9),MIN(Calculator!C8,MAX(0,B323-C323+F323)),0))</f>
        <v/>
      </c>
      <c r="E323" s="23" t="str">
        <f t="shared" si="20"/>
        <v/>
      </c>
      <c r="F323" s="23" t="str">
        <f>IF(A323="","",IF(Calculator!C12="Beginning of Period",MAX(0,(B323-IF(J323="IO",Calculator!C22,Calculator!C21))*Calculator!C17),B323*Calculator!C17))</f>
        <v/>
      </c>
      <c r="G323" s="23" t="str">
        <f t="shared" si="21"/>
        <v/>
      </c>
      <c r="H323" s="23" t="str">
        <f t="shared" si="22"/>
        <v/>
      </c>
      <c r="I323" s="23" t="str">
        <f t="shared" si="24"/>
        <v/>
      </c>
      <c r="J323" s="24" t="str">
        <f>IF(A323="","",IF(A323&lt;=Calculator!C19,"IO","P&amp;I"))</f>
        <v/>
      </c>
    </row>
    <row r="324" spans="1:10" ht="15.75" customHeight="1" x14ac:dyDescent="0.25">
      <c r="A324" s="19" t="str">
        <f>IF(313&lt;=Calculator!C18,313,"")</f>
        <v/>
      </c>
      <c r="B324" s="20" t="str">
        <f t="shared" si="23"/>
        <v/>
      </c>
      <c r="C324" s="20" t="str">
        <f>IF(A324="","",IF(J324="IO",Calculator!C22,IF(B324&gt;0,MIN(Calculator!C21,B324*(1+Calculator!C17)),0)))</f>
        <v/>
      </c>
      <c r="D324" s="20" t="str">
        <f>IF(A324="","",IF(AND(J324="P&amp;I",A324&gt;=Calculator!C9),MIN(Calculator!C8,MAX(0,B324-C324+F324)),0))</f>
        <v/>
      </c>
      <c r="E324" s="20" t="str">
        <f t="shared" si="20"/>
        <v/>
      </c>
      <c r="F324" s="20" t="str">
        <f>IF(A324="","",IF(Calculator!C12="Beginning of Period",MAX(0,(B324-IF(J324="IO",Calculator!C22,Calculator!C21))*Calculator!C17),B324*Calculator!C17))</f>
        <v/>
      </c>
      <c r="G324" s="20" t="str">
        <f t="shared" si="21"/>
        <v/>
      </c>
      <c r="H324" s="20" t="str">
        <f t="shared" si="22"/>
        <v/>
      </c>
      <c r="I324" s="20" t="str">
        <f t="shared" si="24"/>
        <v/>
      </c>
      <c r="J324" s="21" t="str">
        <f>IF(A324="","",IF(A324&lt;=Calculator!C19,"IO","P&amp;I"))</f>
        <v/>
      </c>
    </row>
    <row r="325" spans="1:10" ht="15.75" customHeight="1" x14ac:dyDescent="0.25">
      <c r="A325" s="22" t="str">
        <f>IF(314&lt;=Calculator!C18,314,"")</f>
        <v/>
      </c>
      <c r="B325" s="23" t="str">
        <f t="shared" si="23"/>
        <v/>
      </c>
      <c r="C325" s="23" t="str">
        <f>IF(A325="","",IF(J325="IO",Calculator!C22,IF(B325&gt;0,MIN(Calculator!C21,B325*(1+Calculator!C17)),0)))</f>
        <v/>
      </c>
      <c r="D325" s="23" t="str">
        <f>IF(A325="","",IF(AND(J325="P&amp;I",A325&gt;=Calculator!C9),MIN(Calculator!C8,MAX(0,B325-C325+F325)),0))</f>
        <v/>
      </c>
      <c r="E325" s="23" t="str">
        <f t="shared" si="20"/>
        <v/>
      </c>
      <c r="F325" s="23" t="str">
        <f>IF(A325="","",IF(Calculator!C12="Beginning of Period",MAX(0,(B325-IF(J325="IO",Calculator!C22,Calculator!C21))*Calculator!C17),B325*Calculator!C17))</f>
        <v/>
      </c>
      <c r="G325" s="23" t="str">
        <f t="shared" si="21"/>
        <v/>
      </c>
      <c r="H325" s="23" t="str">
        <f t="shared" si="22"/>
        <v/>
      </c>
      <c r="I325" s="23" t="str">
        <f t="shared" si="24"/>
        <v/>
      </c>
      <c r="J325" s="24" t="str">
        <f>IF(A325="","",IF(A325&lt;=Calculator!C19,"IO","P&amp;I"))</f>
        <v/>
      </c>
    </row>
    <row r="326" spans="1:10" ht="15.75" customHeight="1" x14ac:dyDescent="0.25">
      <c r="A326" s="19" t="str">
        <f>IF(315&lt;=Calculator!C18,315,"")</f>
        <v/>
      </c>
      <c r="B326" s="20" t="str">
        <f t="shared" si="23"/>
        <v/>
      </c>
      <c r="C326" s="20" t="str">
        <f>IF(A326="","",IF(J326="IO",Calculator!C22,IF(B326&gt;0,MIN(Calculator!C21,B326*(1+Calculator!C17)),0)))</f>
        <v/>
      </c>
      <c r="D326" s="20" t="str">
        <f>IF(A326="","",IF(AND(J326="P&amp;I",A326&gt;=Calculator!C9),MIN(Calculator!C8,MAX(0,B326-C326+F326)),0))</f>
        <v/>
      </c>
      <c r="E326" s="20" t="str">
        <f t="shared" si="20"/>
        <v/>
      </c>
      <c r="F326" s="20" t="str">
        <f>IF(A326="","",IF(Calculator!C12="Beginning of Period",MAX(0,(B326-IF(J326="IO",Calculator!C22,Calculator!C21))*Calculator!C17),B326*Calculator!C17))</f>
        <v/>
      </c>
      <c r="G326" s="20" t="str">
        <f t="shared" si="21"/>
        <v/>
      </c>
      <c r="H326" s="20" t="str">
        <f t="shared" si="22"/>
        <v/>
      </c>
      <c r="I326" s="20" t="str">
        <f t="shared" si="24"/>
        <v/>
      </c>
      <c r="J326" s="21" t="str">
        <f>IF(A326="","",IF(A326&lt;=Calculator!C19,"IO","P&amp;I"))</f>
        <v/>
      </c>
    </row>
    <row r="327" spans="1:10" ht="15.75" customHeight="1" x14ac:dyDescent="0.25">
      <c r="A327" s="22" t="str">
        <f>IF(316&lt;=Calculator!C18,316,"")</f>
        <v/>
      </c>
      <c r="B327" s="23" t="str">
        <f t="shared" si="23"/>
        <v/>
      </c>
      <c r="C327" s="23" t="str">
        <f>IF(A327="","",IF(J327="IO",Calculator!C22,IF(B327&gt;0,MIN(Calculator!C21,B327*(1+Calculator!C17)),0)))</f>
        <v/>
      </c>
      <c r="D327" s="23" t="str">
        <f>IF(A327="","",IF(AND(J327="P&amp;I",A327&gt;=Calculator!C9),MIN(Calculator!C8,MAX(0,B327-C327+F327)),0))</f>
        <v/>
      </c>
      <c r="E327" s="23" t="str">
        <f t="shared" si="20"/>
        <v/>
      </c>
      <c r="F327" s="23" t="str">
        <f>IF(A327="","",IF(Calculator!C12="Beginning of Period",MAX(0,(B327-IF(J327="IO",Calculator!C22,Calculator!C21))*Calculator!C17),B327*Calculator!C17))</f>
        <v/>
      </c>
      <c r="G327" s="23" t="str">
        <f t="shared" si="21"/>
        <v/>
      </c>
      <c r="H327" s="23" t="str">
        <f t="shared" si="22"/>
        <v/>
      </c>
      <c r="I327" s="23" t="str">
        <f t="shared" si="24"/>
        <v/>
      </c>
      <c r="J327" s="24" t="str">
        <f>IF(A327="","",IF(A327&lt;=Calculator!C19,"IO","P&amp;I"))</f>
        <v/>
      </c>
    </row>
    <row r="328" spans="1:10" ht="15.75" customHeight="1" x14ac:dyDescent="0.25">
      <c r="A328" s="19" t="str">
        <f>IF(317&lt;=Calculator!C18,317,"")</f>
        <v/>
      </c>
      <c r="B328" s="20" t="str">
        <f t="shared" si="23"/>
        <v/>
      </c>
      <c r="C328" s="20" t="str">
        <f>IF(A328="","",IF(J328="IO",Calculator!C22,IF(B328&gt;0,MIN(Calculator!C21,B328*(1+Calculator!C17)),0)))</f>
        <v/>
      </c>
      <c r="D328" s="20" t="str">
        <f>IF(A328="","",IF(AND(J328="P&amp;I",A328&gt;=Calculator!C9),MIN(Calculator!C8,MAX(0,B328-C328+F328)),0))</f>
        <v/>
      </c>
      <c r="E328" s="20" t="str">
        <f t="shared" si="20"/>
        <v/>
      </c>
      <c r="F328" s="20" t="str">
        <f>IF(A328="","",IF(Calculator!C12="Beginning of Period",MAX(0,(B328-IF(J328="IO",Calculator!C22,Calculator!C21))*Calculator!C17),B328*Calculator!C17))</f>
        <v/>
      </c>
      <c r="G328" s="20" t="str">
        <f t="shared" si="21"/>
        <v/>
      </c>
      <c r="H328" s="20" t="str">
        <f t="shared" si="22"/>
        <v/>
      </c>
      <c r="I328" s="20" t="str">
        <f t="shared" si="24"/>
        <v/>
      </c>
      <c r="J328" s="21" t="str">
        <f>IF(A328="","",IF(A328&lt;=Calculator!C19,"IO","P&amp;I"))</f>
        <v/>
      </c>
    </row>
    <row r="329" spans="1:10" ht="15.75" customHeight="1" x14ac:dyDescent="0.25">
      <c r="A329" s="22" t="str">
        <f>IF(318&lt;=Calculator!C18,318,"")</f>
        <v/>
      </c>
      <c r="B329" s="23" t="str">
        <f t="shared" si="23"/>
        <v/>
      </c>
      <c r="C329" s="23" t="str">
        <f>IF(A329="","",IF(J329="IO",Calculator!C22,IF(B329&gt;0,MIN(Calculator!C21,B329*(1+Calculator!C17)),0)))</f>
        <v/>
      </c>
      <c r="D329" s="23" t="str">
        <f>IF(A329="","",IF(AND(J329="P&amp;I",A329&gt;=Calculator!C9),MIN(Calculator!C8,MAX(0,B329-C329+F329)),0))</f>
        <v/>
      </c>
      <c r="E329" s="23" t="str">
        <f t="shared" si="20"/>
        <v/>
      </c>
      <c r="F329" s="23" t="str">
        <f>IF(A329="","",IF(Calculator!C12="Beginning of Period",MAX(0,(B329-IF(J329="IO",Calculator!C22,Calculator!C21))*Calculator!C17),B329*Calculator!C17))</f>
        <v/>
      </c>
      <c r="G329" s="23" t="str">
        <f t="shared" si="21"/>
        <v/>
      </c>
      <c r="H329" s="23" t="str">
        <f t="shared" si="22"/>
        <v/>
      </c>
      <c r="I329" s="23" t="str">
        <f t="shared" si="24"/>
        <v/>
      </c>
      <c r="J329" s="24" t="str">
        <f>IF(A329="","",IF(A329&lt;=Calculator!C19,"IO","P&amp;I"))</f>
        <v/>
      </c>
    </row>
    <row r="330" spans="1:10" ht="15.75" customHeight="1" x14ac:dyDescent="0.25">
      <c r="A330" s="19" t="str">
        <f>IF(319&lt;=Calculator!C18,319,"")</f>
        <v/>
      </c>
      <c r="B330" s="20" t="str">
        <f t="shared" si="23"/>
        <v/>
      </c>
      <c r="C330" s="20" t="str">
        <f>IF(A330="","",IF(J330="IO",Calculator!C22,IF(B330&gt;0,MIN(Calculator!C21,B330*(1+Calculator!C17)),0)))</f>
        <v/>
      </c>
      <c r="D330" s="20" t="str">
        <f>IF(A330="","",IF(AND(J330="P&amp;I",A330&gt;=Calculator!C9),MIN(Calculator!C8,MAX(0,B330-C330+F330)),0))</f>
        <v/>
      </c>
      <c r="E330" s="20" t="str">
        <f t="shared" si="20"/>
        <v/>
      </c>
      <c r="F330" s="20" t="str">
        <f>IF(A330="","",IF(Calculator!C12="Beginning of Period",MAX(0,(B330-IF(J330="IO",Calculator!C22,Calculator!C21))*Calculator!C17),B330*Calculator!C17))</f>
        <v/>
      </c>
      <c r="G330" s="20" t="str">
        <f t="shared" si="21"/>
        <v/>
      </c>
      <c r="H330" s="20" t="str">
        <f t="shared" si="22"/>
        <v/>
      </c>
      <c r="I330" s="20" t="str">
        <f t="shared" si="24"/>
        <v/>
      </c>
      <c r="J330" s="21" t="str">
        <f>IF(A330="","",IF(A330&lt;=Calculator!C19,"IO","P&amp;I"))</f>
        <v/>
      </c>
    </row>
    <row r="331" spans="1:10" ht="15.75" customHeight="1" x14ac:dyDescent="0.25">
      <c r="A331" s="22" t="str">
        <f>IF(320&lt;=Calculator!C18,320,"")</f>
        <v/>
      </c>
      <c r="B331" s="23" t="str">
        <f t="shared" si="23"/>
        <v/>
      </c>
      <c r="C331" s="23" t="str">
        <f>IF(A331="","",IF(J331="IO",Calculator!C22,IF(B331&gt;0,MIN(Calculator!C21,B331*(1+Calculator!C17)),0)))</f>
        <v/>
      </c>
      <c r="D331" s="23" t="str">
        <f>IF(A331="","",IF(AND(J331="P&amp;I",A331&gt;=Calculator!C9),MIN(Calculator!C8,MAX(0,B331-C331+F331)),0))</f>
        <v/>
      </c>
      <c r="E331" s="23" t="str">
        <f t="shared" si="20"/>
        <v/>
      </c>
      <c r="F331" s="23" t="str">
        <f>IF(A331="","",IF(Calculator!C12="Beginning of Period",MAX(0,(B331-IF(J331="IO",Calculator!C22,Calculator!C21))*Calculator!C17),B331*Calculator!C17))</f>
        <v/>
      </c>
      <c r="G331" s="23" t="str">
        <f t="shared" si="21"/>
        <v/>
      </c>
      <c r="H331" s="23" t="str">
        <f t="shared" si="22"/>
        <v/>
      </c>
      <c r="I331" s="23" t="str">
        <f t="shared" si="24"/>
        <v/>
      </c>
      <c r="J331" s="24" t="str">
        <f>IF(A331="","",IF(A331&lt;=Calculator!C19,"IO","P&amp;I"))</f>
        <v/>
      </c>
    </row>
    <row r="332" spans="1:10" ht="15.75" customHeight="1" x14ac:dyDescent="0.25">
      <c r="A332" s="19" t="str">
        <f>IF(321&lt;=Calculator!C18,321,"")</f>
        <v/>
      </c>
      <c r="B332" s="20" t="str">
        <f t="shared" si="23"/>
        <v/>
      </c>
      <c r="C332" s="20" t="str">
        <f>IF(A332="","",IF(J332="IO",Calculator!C22,IF(B332&gt;0,MIN(Calculator!C21,B332*(1+Calculator!C17)),0)))</f>
        <v/>
      </c>
      <c r="D332" s="20" t="str">
        <f>IF(A332="","",IF(AND(J332="P&amp;I",A332&gt;=Calculator!C9),MIN(Calculator!C8,MAX(0,B332-C332+F332)),0))</f>
        <v/>
      </c>
      <c r="E332" s="20" t="str">
        <f t="shared" ref="E332:E395" si="25">IF(A332="","",C332+D332)</f>
        <v/>
      </c>
      <c r="F332" s="20" t="str">
        <f>IF(A332="","",IF(Calculator!C12="Beginning of Period",MAX(0,(B332-IF(J332="IO",Calculator!C22,Calculator!C21))*Calculator!C17),B332*Calculator!C17))</f>
        <v/>
      </c>
      <c r="G332" s="20" t="str">
        <f t="shared" ref="G332:G395" si="26">IF(A332="","",IF(J332="IO",0,MAX(0,C332-F332)))</f>
        <v/>
      </c>
      <c r="H332" s="20" t="str">
        <f t="shared" ref="H332:H395" si="27">IF(A332="","",MAX(0,B332-G332-D332))</f>
        <v/>
      </c>
      <c r="I332" s="20" t="str">
        <f t="shared" si="24"/>
        <v/>
      </c>
      <c r="J332" s="21" t="str">
        <f>IF(A332="","",IF(A332&lt;=Calculator!C19,"IO","P&amp;I"))</f>
        <v/>
      </c>
    </row>
    <row r="333" spans="1:10" ht="15.75" customHeight="1" x14ac:dyDescent="0.25">
      <c r="A333" s="22" t="str">
        <f>IF(322&lt;=Calculator!C18,322,"")</f>
        <v/>
      </c>
      <c r="B333" s="23" t="str">
        <f t="shared" ref="B333:B396" si="28">IF(A333="","",H332)</f>
        <v/>
      </c>
      <c r="C333" s="23" t="str">
        <f>IF(A333="","",IF(J333="IO",Calculator!C22,IF(B333&gt;0,MIN(Calculator!C21,B333*(1+Calculator!C17)),0)))</f>
        <v/>
      </c>
      <c r="D333" s="23" t="str">
        <f>IF(A333="","",IF(AND(J333="P&amp;I",A333&gt;=Calculator!C9),MIN(Calculator!C8,MAX(0,B333-C333+F333)),0))</f>
        <v/>
      </c>
      <c r="E333" s="23" t="str">
        <f t="shared" si="25"/>
        <v/>
      </c>
      <c r="F333" s="23" t="str">
        <f>IF(A333="","",IF(Calculator!C12="Beginning of Period",MAX(0,(B333-IF(J333="IO",Calculator!C22,Calculator!C21))*Calculator!C17),B333*Calculator!C17))</f>
        <v/>
      </c>
      <c r="G333" s="23" t="str">
        <f t="shared" si="26"/>
        <v/>
      </c>
      <c r="H333" s="23" t="str">
        <f t="shared" si="27"/>
        <v/>
      </c>
      <c r="I333" s="23" t="str">
        <f t="shared" ref="I333:I396" si="29">IF(A333="","",I332+F333)</f>
        <v/>
      </c>
      <c r="J333" s="24" t="str">
        <f>IF(A333="","",IF(A333&lt;=Calculator!C19,"IO","P&amp;I"))</f>
        <v/>
      </c>
    </row>
    <row r="334" spans="1:10" ht="15.75" customHeight="1" x14ac:dyDescent="0.25">
      <c r="A334" s="19" t="str">
        <f>IF(323&lt;=Calculator!C18,323,"")</f>
        <v/>
      </c>
      <c r="B334" s="20" t="str">
        <f t="shared" si="28"/>
        <v/>
      </c>
      <c r="C334" s="20" t="str">
        <f>IF(A334="","",IF(J334="IO",Calculator!C22,IF(B334&gt;0,MIN(Calculator!C21,B334*(1+Calculator!C17)),0)))</f>
        <v/>
      </c>
      <c r="D334" s="20" t="str">
        <f>IF(A334="","",IF(AND(J334="P&amp;I",A334&gt;=Calculator!C9),MIN(Calculator!C8,MAX(0,B334-C334+F334)),0))</f>
        <v/>
      </c>
      <c r="E334" s="20" t="str">
        <f t="shared" si="25"/>
        <v/>
      </c>
      <c r="F334" s="20" t="str">
        <f>IF(A334="","",IF(Calculator!C12="Beginning of Period",MAX(0,(B334-IF(J334="IO",Calculator!C22,Calculator!C21))*Calculator!C17),B334*Calculator!C17))</f>
        <v/>
      </c>
      <c r="G334" s="20" t="str">
        <f t="shared" si="26"/>
        <v/>
      </c>
      <c r="H334" s="20" t="str">
        <f t="shared" si="27"/>
        <v/>
      </c>
      <c r="I334" s="20" t="str">
        <f t="shared" si="29"/>
        <v/>
      </c>
      <c r="J334" s="21" t="str">
        <f>IF(A334="","",IF(A334&lt;=Calculator!C19,"IO","P&amp;I"))</f>
        <v/>
      </c>
    </row>
    <row r="335" spans="1:10" ht="15.75" customHeight="1" x14ac:dyDescent="0.25">
      <c r="A335" s="22" t="str">
        <f>IF(324&lt;=Calculator!C18,324,"")</f>
        <v/>
      </c>
      <c r="B335" s="23" t="str">
        <f t="shared" si="28"/>
        <v/>
      </c>
      <c r="C335" s="23" t="str">
        <f>IF(A335="","",IF(J335="IO",Calculator!C22,IF(B335&gt;0,MIN(Calculator!C21,B335*(1+Calculator!C17)),0)))</f>
        <v/>
      </c>
      <c r="D335" s="23" t="str">
        <f>IF(A335="","",IF(AND(J335="P&amp;I",A335&gt;=Calculator!C9),MIN(Calculator!C8,MAX(0,B335-C335+F335)),0))</f>
        <v/>
      </c>
      <c r="E335" s="23" t="str">
        <f t="shared" si="25"/>
        <v/>
      </c>
      <c r="F335" s="23" t="str">
        <f>IF(A335="","",IF(Calculator!C12="Beginning of Period",MAX(0,(B335-IF(J335="IO",Calculator!C22,Calculator!C21))*Calculator!C17),B335*Calculator!C17))</f>
        <v/>
      </c>
      <c r="G335" s="23" t="str">
        <f t="shared" si="26"/>
        <v/>
      </c>
      <c r="H335" s="23" t="str">
        <f t="shared" si="27"/>
        <v/>
      </c>
      <c r="I335" s="23" t="str">
        <f t="shared" si="29"/>
        <v/>
      </c>
      <c r="J335" s="24" t="str">
        <f>IF(A335="","",IF(A335&lt;=Calculator!C19,"IO","P&amp;I"))</f>
        <v/>
      </c>
    </row>
    <row r="336" spans="1:10" ht="15.75" customHeight="1" x14ac:dyDescent="0.25">
      <c r="A336" s="19" t="str">
        <f>IF(325&lt;=Calculator!C18,325,"")</f>
        <v/>
      </c>
      <c r="B336" s="20" t="str">
        <f t="shared" si="28"/>
        <v/>
      </c>
      <c r="C336" s="20" t="str">
        <f>IF(A336="","",IF(J336="IO",Calculator!C22,IF(B336&gt;0,MIN(Calculator!C21,B336*(1+Calculator!C17)),0)))</f>
        <v/>
      </c>
      <c r="D336" s="20" t="str">
        <f>IF(A336="","",IF(AND(J336="P&amp;I",A336&gt;=Calculator!C9),MIN(Calculator!C8,MAX(0,B336-C336+F336)),0))</f>
        <v/>
      </c>
      <c r="E336" s="20" t="str">
        <f t="shared" si="25"/>
        <v/>
      </c>
      <c r="F336" s="20" t="str">
        <f>IF(A336="","",IF(Calculator!C12="Beginning of Period",MAX(0,(B336-IF(J336="IO",Calculator!C22,Calculator!C21))*Calculator!C17),B336*Calculator!C17))</f>
        <v/>
      </c>
      <c r="G336" s="20" t="str">
        <f t="shared" si="26"/>
        <v/>
      </c>
      <c r="H336" s="20" t="str">
        <f t="shared" si="27"/>
        <v/>
      </c>
      <c r="I336" s="20" t="str">
        <f t="shared" si="29"/>
        <v/>
      </c>
      <c r="J336" s="21" t="str">
        <f>IF(A336="","",IF(A336&lt;=Calculator!C19,"IO","P&amp;I"))</f>
        <v/>
      </c>
    </row>
    <row r="337" spans="1:10" ht="15.75" customHeight="1" x14ac:dyDescent="0.25">
      <c r="A337" s="22" t="str">
        <f>IF(326&lt;=Calculator!C18,326,"")</f>
        <v/>
      </c>
      <c r="B337" s="23" t="str">
        <f t="shared" si="28"/>
        <v/>
      </c>
      <c r="C337" s="23" t="str">
        <f>IF(A337="","",IF(J337="IO",Calculator!C22,IF(B337&gt;0,MIN(Calculator!C21,B337*(1+Calculator!C17)),0)))</f>
        <v/>
      </c>
      <c r="D337" s="23" t="str">
        <f>IF(A337="","",IF(AND(J337="P&amp;I",A337&gt;=Calculator!C9),MIN(Calculator!C8,MAX(0,B337-C337+F337)),0))</f>
        <v/>
      </c>
      <c r="E337" s="23" t="str">
        <f t="shared" si="25"/>
        <v/>
      </c>
      <c r="F337" s="23" t="str">
        <f>IF(A337="","",IF(Calculator!C12="Beginning of Period",MAX(0,(B337-IF(J337="IO",Calculator!C22,Calculator!C21))*Calculator!C17),B337*Calculator!C17))</f>
        <v/>
      </c>
      <c r="G337" s="23" t="str">
        <f t="shared" si="26"/>
        <v/>
      </c>
      <c r="H337" s="23" t="str">
        <f t="shared" si="27"/>
        <v/>
      </c>
      <c r="I337" s="23" t="str">
        <f t="shared" si="29"/>
        <v/>
      </c>
      <c r="J337" s="24" t="str">
        <f>IF(A337="","",IF(A337&lt;=Calculator!C19,"IO","P&amp;I"))</f>
        <v/>
      </c>
    </row>
    <row r="338" spans="1:10" ht="15.75" customHeight="1" x14ac:dyDescent="0.25">
      <c r="A338" s="19" t="str">
        <f>IF(327&lt;=Calculator!C18,327,"")</f>
        <v/>
      </c>
      <c r="B338" s="20" t="str">
        <f t="shared" si="28"/>
        <v/>
      </c>
      <c r="C338" s="20" t="str">
        <f>IF(A338="","",IF(J338="IO",Calculator!C22,IF(B338&gt;0,MIN(Calculator!C21,B338*(1+Calculator!C17)),0)))</f>
        <v/>
      </c>
      <c r="D338" s="20" t="str">
        <f>IF(A338="","",IF(AND(J338="P&amp;I",A338&gt;=Calculator!C9),MIN(Calculator!C8,MAX(0,B338-C338+F338)),0))</f>
        <v/>
      </c>
      <c r="E338" s="20" t="str">
        <f t="shared" si="25"/>
        <v/>
      </c>
      <c r="F338" s="20" t="str">
        <f>IF(A338="","",IF(Calculator!C12="Beginning of Period",MAX(0,(B338-IF(J338="IO",Calculator!C22,Calculator!C21))*Calculator!C17),B338*Calculator!C17))</f>
        <v/>
      </c>
      <c r="G338" s="20" t="str">
        <f t="shared" si="26"/>
        <v/>
      </c>
      <c r="H338" s="20" t="str">
        <f t="shared" si="27"/>
        <v/>
      </c>
      <c r="I338" s="20" t="str">
        <f t="shared" si="29"/>
        <v/>
      </c>
      <c r="J338" s="21" t="str">
        <f>IF(A338="","",IF(A338&lt;=Calculator!C19,"IO","P&amp;I"))</f>
        <v/>
      </c>
    </row>
    <row r="339" spans="1:10" ht="15.75" customHeight="1" x14ac:dyDescent="0.25">
      <c r="A339" s="22" t="str">
        <f>IF(328&lt;=Calculator!C18,328,"")</f>
        <v/>
      </c>
      <c r="B339" s="23" t="str">
        <f t="shared" si="28"/>
        <v/>
      </c>
      <c r="C339" s="23" t="str">
        <f>IF(A339="","",IF(J339="IO",Calculator!C22,IF(B339&gt;0,MIN(Calculator!C21,B339*(1+Calculator!C17)),0)))</f>
        <v/>
      </c>
      <c r="D339" s="23" t="str">
        <f>IF(A339="","",IF(AND(J339="P&amp;I",A339&gt;=Calculator!C9),MIN(Calculator!C8,MAX(0,B339-C339+F339)),0))</f>
        <v/>
      </c>
      <c r="E339" s="23" t="str">
        <f t="shared" si="25"/>
        <v/>
      </c>
      <c r="F339" s="23" t="str">
        <f>IF(A339="","",IF(Calculator!C12="Beginning of Period",MAX(0,(B339-IF(J339="IO",Calculator!C22,Calculator!C21))*Calculator!C17),B339*Calculator!C17))</f>
        <v/>
      </c>
      <c r="G339" s="23" t="str">
        <f t="shared" si="26"/>
        <v/>
      </c>
      <c r="H339" s="23" t="str">
        <f t="shared" si="27"/>
        <v/>
      </c>
      <c r="I339" s="23" t="str">
        <f t="shared" si="29"/>
        <v/>
      </c>
      <c r="J339" s="24" t="str">
        <f>IF(A339="","",IF(A339&lt;=Calculator!C19,"IO","P&amp;I"))</f>
        <v/>
      </c>
    </row>
    <row r="340" spans="1:10" ht="15.75" customHeight="1" x14ac:dyDescent="0.25">
      <c r="A340" s="19" t="str">
        <f>IF(329&lt;=Calculator!C18,329,"")</f>
        <v/>
      </c>
      <c r="B340" s="20" t="str">
        <f t="shared" si="28"/>
        <v/>
      </c>
      <c r="C340" s="20" t="str">
        <f>IF(A340="","",IF(J340="IO",Calculator!C22,IF(B340&gt;0,MIN(Calculator!C21,B340*(1+Calculator!C17)),0)))</f>
        <v/>
      </c>
      <c r="D340" s="20" t="str">
        <f>IF(A340="","",IF(AND(J340="P&amp;I",A340&gt;=Calculator!C9),MIN(Calculator!C8,MAX(0,B340-C340+F340)),0))</f>
        <v/>
      </c>
      <c r="E340" s="20" t="str">
        <f t="shared" si="25"/>
        <v/>
      </c>
      <c r="F340" s="20" t="str">
        <f>IF(A340="","",IF(Calculator!C12="Beginning of Period",MAX(0,(B340-IF(J340="IO",Calculator!C22,Calculator!C21))*Calculator!C17),B340*Calculator!C17))</f>
        <v/>
      </c>
      <c r="G340" s="20" t="str">
        <f t="shared" si="26"/>
        <v/>
      </c>
      <c r="H340" s="20" t="str">
        <f t="shared" si="27"/>
        <v/>
      </c>
      <c r="I340" s="20" t="str">
        <f t="shared" si="29"/>
        <v/>
      </c>
      <c r="J340" s="21" t="str">
        <f>IF(A340="","",IF(A340&lt;=Calculator!C19,"IO","P&amp;I"))</f>
        <v/>
      </c>
    </row>
    <row r="341" spans="1:10" ht="15.75" customHeight="1" x14ac:dyDescent="0.25">
      <c r="A341" s="22" t="str">
        <f>IF(330&lt;=Calculator!C18,330,"")</f>
        <v/>
      </c>
      <c r="B341" s="23" t="str">
        <f t="shared" si="28"/>
        <v/>
      </c>
      <c r="C341" s="23" t="str">
        <f>IF(A341="","",IF(J341="IO",Calculator!C22,IF(B341&gt;0,MIN(Calculator!C21,B341*(1+Calculator!C17)),0)))</f>
        <v/>
      </c>
      <c r="D341" s="23" t="str">
        <f>IF(A341="","",IF(AND(J341="P&amp;I",A341&gt;=Calculator!C9),MIN(Calculator!C8,MAX(0,B341-C341+F341)),0))</f>
        <v/>
      </c>
      <c r="E341" s="23" t="str">
        <f t="shared" si="25"/>
        <v/>
      </c>
      <c r="F341" s="23" t="str">
        <f>IF(A341="","",IF(Calculator!C12="Beginning of Period",MAX(0,(B341-IF(J341="IO",Calculator!C22,Calculator!C21))*Calculator!C17),B341*Calculator!C17))</f>
        <v/>
      </c>
      <c r="G341" s="23" t="str">
        <f t="shared" si="26"/>
        <v/>
      </c>
      <c r="H341" s="23" t="str">
        <f t="shared" si="27"/>
        <v/>
      </c>
      <c r="I341" s="23" t="str">
        <f t="shared" si="29"/>
        <v/>
      </c>
      <c r="J341" s="24" t="str">
        <f>IF(A341="","",IF(A341&lt;=Calculator!C19,"IO","P&amp;I"))</f>
        <v/>
      </c>
    </row>
    <row r="342" spans="1:10" ht="15.75" customHeight="1" x14ac:dyDescent="0.25">
      <c r="A342" s="19" t="str">
        <f>IF(331&lt;=Calculator!C18,331,"")</f>
        <v/>
      </c>
      <c r="B342" s="20" t="str">
        <f t="shared" si="28"/>
        <v/>
      </c>
      <c r="C342" s="20" t="str">
        <f>IF(A342="","",IF(J342="IO",Calculator!C22,IF(B342&gt;0,MIN(Calculator!C21,B342*(1+Calculator!C17)),0)))</f>
        <v/>
      </c>
      <c r="D342" s="20" t="str">
        <f>IF(A342="","",IF(AND(J342="P&amp;I",A342&gt;=Calculator!C9),MIN(Calculator!C8,MAX(0,B342-C342+F342)),0))</f>
        <v/>
      </c>
      <c r="E342" s="20" t="str">
        <f t="shared" si="25"/>
        <v/>
      </c>
      <c r="F342" s="20" t="str">
        <f>IF(A342="","",IF(Calculator!C12="Beginning of Period",MAX(0,(B342-IF(J342="IO",Calculator!C22,Calculator!C21))*Calculator!C17),B342*Calculator!C17))</f>
        <v/>
      </c>
      <c r="G342" s="20" t="str">
        <f t="shared" si="26"/>
        <v/>
      </c>
      <c r="H342" s="20" t="str">
        <f t="shared" si="27"/>
        <v/>
      </c>
      <c r="I342" s="20" t="str">
        <f t="shared" si="29"/>
        <v/>
      </c>
      <c r="J342" s="21" t="str">
        <f>IF(A342="","",IF(A342&lt;=Calculator!C19,"IO","P&amp;I"))</f>
        <v/>
      </c>
    </row>
    <row r="343" spans="1:10" ht="15.75" customHeight="1" x14ac:dyDescent="0.25">
      <c r="A343" s="22" t="str">
        <f>IF(332&lt;=Calculator!C18,332,"")</f>
        <v/>
      </c>
      <c r="B343" s="23" t="str">
        <f t="shared" si="28"/>
        <v/>
      </c>
      <c r="C343" s="23" t="str">
        <f>IF(A343="","",IF(J343="IO",Calculator!C22,IF(B343&gt;0,MIN(Calculator!C21,B343*(1+Calculator!C17)),0)))</f>
        <v/>
      </c>
      <c r="D343" s="23" t="str">
        <f>IF(A343="","",IF(AND(J343="P&amp;I",A343&gt;=Calculator!C9),MIN(Calculator!C8,MAX(0,B343-C343+F343)),0))</f>
        <v/>
      </c>
      <c r="E343" s="23" t="str">
        <f t="shared" si="25"/>
        <v/>
      </c>
      <c r="F343" s="23" t="str">
        <f>IF(A343="","",IF(Calculator!C12="Beginning of Period",MAX(0,(B343-IF(J343="IO",Calculator!C22,Calculator!C21))*Calculator!C17),B343*Calculator!C17))</f>
        <v/>
      </c>
      <c r="G343" s="23" t="str">
        <f t="shared" si="26"/>
        <v/>
      </c>
      <c r="H343" s="23" t="str">
        <f t="shared" si="27"/>
        <v/>
      </c>
      <c r="I343" s="23" t="str">
        <f t="shared" si="29"/>
        <v/>
      </c>
      <c r="J343" s="24" t="str">
        <f>IF(A343="","",IF(A343&lt;=Calculator!C19,"IO","P&amp;I"))</f>
        <v/>
      </c>
    </row>
    <row r="344" spans="1:10" ht="15.75" customHeight="1" x14ac:dyDescent="0.25">
      <c r="A344" s="19" t="str">
        <f>IF(333&lt;=Calculator!C18,333,"")</f>
        <v/>
      </c>
      <c r="B344" s="20" t="str">
        <f t="shared" si="28"/>
        <v/>
      </c>
      <c r="C344" s="20" t="str">
        <f>IF(A344="","",IF(J344="IO",Calculator!C22,IF(B344&gt;0,MIN(Calculator!C21,B344*(1+Calculator!C17)),0)))</f>
        <v/>
      </c>
      <c r="D344" s="20" t="str">
        <f>IF(A344="","",IF(AND(J344="P&amp;I",A344&gt;=Calculator!C9),MIN(Calculator!C8,MAX(0,B344-C344+F344)),0))</f>
        <v/>
      </c>
      <c r="E344" s="20" t="str">
        <f t="shared" si="25"/>
        <v/>
      </c>
      <c r="F344" s="20" t="str">
        <f>IF(A344="","",IF(Calculator!C12="Beginning of Period",MAX(0,(B344-IF(J344="IO",Calculator!C22,Calculator!C21))*Calculator!C17),B344*Calculator!C17))</f>
        <v/>
      </c>
      <c r="G344" s="20" t="str">
        <f t="shared" si="26"/>
        <v/>
      </c>
      <c r="H344" s="20" t="str">
        <f t="shared" si="27"/>
        <v/>
      </c>
      <c r="I344" s="20" t="str">
        <f t="shared" si="29"/>
        <v/>
      </c>
      <c r="J344" s="21" t="str">
        <f>IF(A344="","",IF(A344&lt;=Calculator!C19,"IO","P&amp;I"))</f>
        <v/>
      </c>
    </row>
    <row r="345" spans="1:10" ht="15.75" customHeight="1" x14ac:dyDescent="0.25">
      <c r="A345" s="22" t="str">
        <f>IF(334&lt;=Calculator!C18,334,"")</f>
        <v/>
      </c>
      <c r="B345" s="23" t="str">
        <f t="shared" si="28"/>
        <v/>
      </c>
      <c r="C345" s="23" t="str">
        <f>IF(A345="","",IF(J345="IO",Calculator!C22,IF(B345&gt;0,MIN(Calculator!C21,B345*(1+Calculator!C17)),0)))</f>
        <v/>
      </c>
      <c r="D345" s="23" t="str">
        <f>IF(A345="","",IF(AND(J345="P&amp;I",A345&gt;=Calculator!C9),MIN(Calculator!C8,MAX(0,B345-C345+F345)),0))</f>
        <v/>
      </c>
      <c r="E345" s="23" t="str">
        <f t="shared" si="25"/>
        <v/>
      </c>
      <c r="F345" s="23" t="str">
        <f>IF(A345="","",IF(Calculator!C12="Beginning of Period",MAX(0,(B345-IF(J345="IO",Calculator!C22,Calculator!C21))*Calculator!C17),B345*Calculator!C17))</f>
        <v/>
      </c>
      <c r="G345" s="23" t="str">
        <f t="shared" si="26"/>
        <v/>
      </c>
      <c r="H345" s="23" t="str">
        <f t="shared" si="27"/>
        <v/>
      </c>
      <c r="I345" s="23" t="str">
        <f t="shared" si="29"/>
        <v/>
      </c>
      <c r="J345" s="24" t="str">
        <f>IF(A345="","",IF(A345&lt;=Calculator!C19,"IO","P&amp;I"))</f>
        <v/>
      </c>
    </row>
    <row r="346" spans="1:10" ht="15.75" customHeight="1" x14ac:dyDescent="0.25">
      <c r="A346" s="19" t="str">
        <f>IF(335&lt;=Calculator!C18,335,"")</f>
        <v/>
      </c>
      <c r="B346" s="20" t="str">
        <f t="shared" si="28"/>
        <v/>
      </c>
      <c r="C346" s="20" t="str">
        <f>IF(A346="","",IF(J346="IO",Calculator!C22,IF(B346&gt;0,MIN(Calculator!C21,B346*(1+Calculator!C17)),0)))</f>
        <v/>
      </c>
      <c r="D346" s="20" t="str">
        <f>IF(A346="","",IF(AND(J346="P&amp;I",A346&gt;=Calculator!C9),MIN(Calculator!C8,MAX(0,B346-C346+F346)),0))</f>
        <v/>
      </c>
      <c r="E346" s="20" t="str">
        <f t="shared" si="25"/>
        <v/>
      </c>
      <c r="F346" s="20" t="str">
        <f>IF(A346="","",IF(Calculator!C12="Beginning of Period",MAX(0,(B346-IF(J346="IO",Calculator!C22,Calculator!C21))*Calculator!C17),B346*Calculator!C17))</f>
        <v/>
      </c>
      <c r="G346" s="20" t="str">
        <f t="shared" si="26"/>
        <v/>
      </c>
      <c r="H346" s="20" t="str">
        <f t="shared" si="27"/>
        <v/>
      </c>
      <c r="I346" s="20" t="str">
        <f t="shared" si="29"/>
        <v/>
      </c>
      <c r="J346" s="21" t="str">
        <f>IF(A346="","",IF(A346&lt;=Calculator!C19,"IO","P&amp;I"))</f>
        <v/>
      </c>
    </row>
    <row r="347" spans="1:10" ht="15.75" customHeight="1" x14ac:dyDescent="0.25">
      <c r="A347" s="22" t="str">
        <f>IF(336&lt;=Calculator!C18,336,"")</f>
        <v/>
      </c>
      <c r="B347" s="23" t="str">
        <f t="shared" si="28"/>
        <v/>
      </c>
      <c r="C347" s="23" t="str">
        <f>IF(A347="","",IF(J347="IO",Calculator!C22,IF(B347&gt;0,MIN(Calculator!C21,B347*(1+Calculator!C17)),0)))</f>
        <v/>
      </c>
      <c r="D347" s="23" t="str">
        <f>IF(A347="","",IF(AND(J347="P&amp;I",A347&gt;=Calculator!C9),MIN(Calculator!C8,MAX(0,B347-C347+F347)),0))</f>
        <v/>
      </c>
      <c r="E347" s="23" t="str">
        <f t="shared" si="25"/>
        <v/>
      </c>
      <c r="F347" s="23" t="str">
        <f>IF(A347="","",IF(Calculator!C12="Beginning of Period",MAX(0,(B347-IF(J347="IO",Calculator!C22,Calculator!C21))*Calculator!C17),B347*Calculator!C17))</f>
        <v/>
      </c>
      <c r="G347" s="23" t="str">
        <f t="shared" si="26"/>
        <v/>
      </c>
      <c r="H347" s="23" t="str">
        <f t="shared" si="27"/>
        <v/>
      </c>
      <c r="I347" s="23" t="str">
        <f t="shared" si="29"/>
        <v/>
      </c>
      <c r="J347" s="24" t="str">
        <f>IF(A347="","",IF(A347&lt;=Calculator!C19,"IO","P&amp;I"))</f>
        <v/>
      </c>
    </row>
    <row r="348" spans="1:10" ht="15.75" customHeight="1" x14ac:dyDescent="0.25">
      <c r="A348" s="19" t="str">
        <f>IF(337&lt;=Calculator!C18,337,"")</f>
        <v/>
      </c>
      <c r="B348" s="20" t="str">
        <f t="shared" si="28"/>
        <v/>
      </c>
      <c r="C348" s="20" t="str">
        <f>IF(A348="","",IF(J348="IO",Calculator!C22,IF(B348&gt;0,MIN(Calculator!C21,B348*(1+Calculator!C17)),0)))</f>
        <v/>
      </c>
      <c r="D348" s="20" t="str">
        <f>IF(A348="","",IF(AND(J348="P&amp;I",A348&gt;=Calculator!C9),MIN(Calculator!C8,MAX(0,B348-C348+F348)),0))</f>
        <v/>
      </c>
      <c r="E348" s="20" t="str">
        <f t="shared" si="25"/>
        <v/>
      </c>
      <c r="F348" s="20" t="str">
        <f>IF(A348="","",IF(Calculator!C12="Beginning of Period",MAX(0,(B348-IF(J348="IO",Calculator!C22,Calculator!C21))*Calculator!C17),B348*Calculator!C17))</f>
        <v/>
      </c>
      <c r="G348" s="20" t="str">
        <f t="shared" si="26"/>
        <v/>
      </c>
      <c r="H348" s="20" t="str">
        <f t="shared" si="27"/>
        <v/>
      </c>
      <c r="I348" s="20" t="str">
        <f t="shared" si="29"/>
        <v/>
      </c>
      <c r="J348" s="21" t="str">
        <f>IF(A348="","",IF(A348&lt;=Calculator!C19,"IO","P&amp;I"))</f>
        <v/>
      </c>
    </row>
    <row r="349" spans="1:10" ht="15.75" customHeight="1" x14ac:dyDescent="0.25">
      <c r="A349" s="22" t="str">
        <f>IF(338&lt;=Calculator!C18,338,"")</f>
        <v/>
      </c>
      <c r="B349" s="23" t="str">
        <f t="shared" si="28"/>
        <v/>
      </c>
      <c r="C349" s="23" t="str">
        <f>IF(A349="","",IF(J349="IO",Calculator!C22,IF(B349&gt;0,MIN(Calculator!C21,B349*(1+Calculator!C17)),0)))</f>
        <v/>
      </c>
      <c r="D349" s="23" t="str">
        <f>IF(A349="","",IF(AND(J349="P&amp;I",A349&gt;=Calculator!C9),MIN(Calculator!C8,MAX(0,B349-C349+F349)),0))</f>
        <v/>
      </c>
      <c r="E349" s="23" t="str">
        <f t="shared" si="25"/>
        <v/>
      </c>
      <c r="F349" s="23" t="str">
        <f>IF(A349="","",IF(Calculator!C12="Beginning of Period",MAX(0,(B349-IF(J349="IO",Calculator!C22,Calculator!C21))*Calculator!C17),B349*Calculator!C17))</f>
        <v/>
      </c>
      <c r="G349" s="23" t="str">
        <f t="shared" si="26"/>
        <v/>
      </c>
      <c r="H349" s="23" t="str">
        <f t="shared" si="27"/>
        <v/>
      </c>
      <c r="I349" s="23" t="str">
        <f t="shared" si="29"/>
        <v/>
      </c>
      <c r="J349" s="24" t="str">
        <f>IF(A349="","",IF(A349&lt;=Calculator!C19,"IO","P&amp;I"))</f>
        <v/>
      </c>
    </row>
    <row r="350" spans="1:10" ht="15.75" customHeight="1" x14ac:dyDescent="0.25">
      <c r="A350" s="19" t="str">
        <f>IF(339&lt;=Calculator!C18,339,"")</f>
        <v/>
      </c>
      <c r="B350" s="20" t="str">
        <f t="shared" si="28"/>
        <v/>
      </c>
      <c r="C350" s="20" t="str">
        <f>IF(A350="","",IF(J350="IO",Calculator!C22,IF(B350&gt;0,MIN(Calculator!C21,B350*(1+Calculator!C17)),0)))</f>
        <v/>
      </c>
      <c r="D350" s="20" t="str">
        <f>IF(A350="","",IF(AND(J350="P&amp;I",A350&gt;=Calculator!C9),MIN(Calculator!C8,MAX(0,B350-C350+F350)),0))</f>
        <v/>
      </c>
      <c r="E350" s="20" t="str">
        <f t="shared" si="25"/>
        <v/>
      </c>
      <c r="F350" s="20" t="str">
        <f>IF(A350="","",IF(Calculator!C12="Beginning of Period",MAX(0,(B350-IF(J350="IO",Calculator!C22,Calculator!C21))*Calculator!C17),B350*Calculator!C17))</f>
        <v/>
      </c>
      <c r="G350" s="20" t="str">
        <f t="shared" si="26"/>
        <v/>
      </c>
      <c r="H350" s="20" t="str">
        <f t="shared" si="27"/>
        <v/>
      </c>
      <c r="I350" s="20" t="str">
        <f t="shared" si="29"/>
        <v/>
      </c>
      <c r="J350" s="21" t="str">
        <f>IF(A350="","",IF(A350&lt;=Calculator!C19,"IO","P&amp;I"))</f>
        <v/>
      </c>
    </row>
    <row r="351" spans="1:10" ht="15.75" customHeight="1" x14ac:dyDescent="0.25">
      <c r="A351" s="22" t="str">
        <f>IF(340&lt;=Calculator!C18,340,"")</f>
        <v/>
      </c>
      <c r="B351" s="23" t="str">
        <f t="shared" si="28"/>
        <v/>
      </c>
      <c r="C351" s="23" t="str">
        <f>IF(A351="","",IF(J351="IO",Calculator!C22,IF(B351&gt;0,MIN(Calculator!C21,B351*(1+Calculator!C17)),0)))</f>
        <v/>
      </c>
      <c r="D351" s="23" t="str">
        <f>IF(A351="","",IF(AND(J351="P&amp;I",A351&gt;=Calculator!C9),MIN(Calculator!C8,MAX(0,B351-C351+F351)),0))</f>
        <v/>
      </c>
      <c r="E351" s="23" t="str">
        <f t="shared" si="25"/>
        <v/>
      </c>
      <c r="F351" s="23" t="str">
        <f>IF(A351="","",IF(Calculator!C12="Beginning of Period",MAX(0,(B351-IF(J351="IO",Calculator!C22,Calculator!C21))*Calculator!C17),B351*Calculator!C17))</f>
        <v/>
      </c>
      <c r="G351" s="23" t="str">
        <f t="shared" si="26"/>
        <v/>
      </c>
      <c r="H351" s="23" t="str">
        <f t="shared" si="27"/>
        <v/>
      </c>
      <c r="I351" s="23" t="str">
        <f t="shared" si="29"/>
        <v/>
      </c>
      <c r="J351" s="24" t="str">
        <f>IF(A351="","",IF(A351&lt;=Calculator!C19,"IO","P&amp;I"))</f>
        <v/>
      </c>
    </row>
    <row r="352" spans="1:10" ht="15.75" customHeight="1" x14ac:dyDescent="0.25">
      <c r="A352" s="19" t="str">
        <f>IF(341&lt;=Calculator!C18,341,"")</f>
        <v/>
      </c>
      <c r="B352" s="20" t="str">
        <f t="shared" si="28"/>
        <v/>
      </c>
      <c r="C352" s="20" t="str">
        <f>IF(A352="","",IF(J352="IO",Calculator!C22,IF(B352&gt;0,MIN(Calculator!C21,B352*(1+Calculator!C17)),0)))</f>
        <v/>
      </c>
      <c r="D352" s="20" t="str">
        <f>IF(A352="","",IF(AND(J352="P&amp;I",A352&gt;=Calculator!C9),MIN(Calculator!C8,MAX(0,B352-C352+F352)),0))</f>
        <v/>
      </c>
      <c r="E352" s="20" t="str">
        <f t="shared" si="25"/>
        <v/>
      </c>
      <c r="F352" s="20" t="str">
        <f>IF(A352="","",IF(Calculator!C12="Beginning of Period",MAX(0,(B352-IF(J352="IO",Calculator!C22,Calculator!C21))*Calculator!C17),B352*Calculator!C17))</f>
        <v/>
      </c>
      <c r="G352" s="20" t="str">
        <f t="shared" si="26"/>
        <v/>
      </c>
      <c r="H352" s="20" t="str">
        <f t="shared" si="27"/>
        <v/>
      </c>
      <c r="I352" s="20" t="str">
        <f t="shared" si="29"/>
        <v/>
      </c>
      <c r="J352" s="21" t="str">
        <f>IF(A352="","",IF(A352&lt;=Calculator!C19,"IO","P&amp;I"))</f>
        <v/>
      </c>
    </row>
    <row r="353" spans="1:10" ht="15.75" customHeight="1" x14ac:dyDescent="0.25">
      <c r="A353" s="22" t="str">
        <f>IF(342&lt;=Calculator!C18,342,"")</f>
        <v/>
      </c>
      <c r="B353" s="23" t="str">
        <f t="shared" si="28"/>
        <v/>
      </c>
      <c r="C353" s="23" t="str">
        <f>IF(A353="","",IF(J353="IO",Calculator!C22,IF(B353&gt;0,MIN(Calculator!C21,B353*(1+Calculator!C17)),0)))</f>
        <v/>
      </c>
      <c r="D353" s="23" t="str">
        <f>IF(A353="","",IF(AND(J353="P&amp;I",A353&gt;=Calculator!C9),MIN(Calculator!C8,MAX(0,B353-C353+F353)),0))</f>
        <v/>
      </c>
      <c r="E353" s="23" t="str">
        <f t="shared" si="25"/>
        <v/>
      </c>
      <c r="F353" s="23" t="str">
        <f>IF(A353="","",IF(Calculator!C12="Beginning of Period",MAX(0,(B353-IF(J353="IO",Calculator!C22,Calculator!C21))*Calculator!C17),B353*Calculator!C17))</f>
        <v/>
      </c>
      <c r="G353" s="23" t="str">
        <f t="shared" si="26"/>
        <v/>
      </c>
      <c r="H353" s="23" t="str">
        <f t="shared" si="27"/>
        <v/>
      </c>
      <c r="I353" s="23" t="str">
        <f t="shared" si="29"/>
        <v/>
      </c>
      <c r="J353" s="24" t="str">
        <f>IF(A353="","",IF(A353&lt;=Calculator!C19,"IO","P&amp;I"))</f>
        <v/>
      </c>
    </row>
    <row r="354" spans="1:10" ht="15.75" customHeight="1" x14ac:dyDescent="0.25">
      <c r="A354" s="19" t="str">
        <f>IF(343&lt;=Calculator!C18,343,"")</f>
        <v/>
      </c>
      <c r="B354" s="20" t="str">
        <f t="shared" si="28"/>
        <v/>
      </c>
      <c r="C354" s="20" t="str">
        <f>IF(A354="","",IF(J354="IO",Calculator!C22,IF(B354&gt;0,MIN(Calculator!C21,B354*(1+Calculator!C17)),0)))</f>
        <v/>
      </c>
      <c r="D354" s="20" t="str">
        <f>IF(A354="","",IF(AND(J354="P&amp;I",A354&gt;=Calculator!C9),MIN(Calculator!C8,MAX(0,B354-C354+F354)),0))</f>
        <v/>
      </c>
      <c r="E354" s="20" t="str">
        <f t="shared" si="25"/>
        <v/>
      </c>
      <c r="F354" s="20" t="str">
        <f>IF(A354="","",IF(Calculator!C12="Beginning of Period",MAX(0,(B354-IF(J354="IO",Calculator!C22,Calculator!C21))*Calculator!C17),B354*Calculator!C17))</f>
        <v/>
      </c>
      <c r="G354" s="20" t="str">
        <f t="shared" si="26"/>
        <v/>
      </c>
      <c r="H354" s="20" t="str">
        <f t="shared" si="27"/>
        <v/>
      </c>
      <c r="I354" s="20" t="str">
        <f t="shared" si="29"/>
        <v/>
      </c>
      <c r="J354" s="21" t="str">
        <f>IF(A354="","",IF(A354&lt;=Calculator!C19,"IO","P&amp;I"))</f>
        <v/>
      </c>
    </row>
    <row r="355" spans="1:10" ht="15.75" customHeight="1" x14ac:dyDescent="0.25">
      <c r="A355" s="22" t="str">
        <f>IF(344&lt;=Calculator!C18,344,"")</f>
        <v/>
      </c>
      <c r="B355" s="23" t="str">
        <f t="shared" si="28"/>
        <v/>
      </c>
      <c r="C355" s="23" t="str">
        <f>IF(A355="","",IF(J355="IO",Calculator!C22,IF(B355&gt;0,MIN(Calculator!C21,B355*(1+Calculator!C17)),0)))</f>
        <v/>
      </c>
      <c r="D355" s="23" t="str">
        <f>IF(A355="","",IF(AND(J355="P&amp;I",A355&gt;=Calculator!C9),MIN(Calculator!C8,MAX(0,B355-C355+F355)),0))</f>
        <v/>
      </c>
      <c r="E355" s="23" t="str">
        <f t="shared" si="25"/>
        <v/>
      </c>
      <c r="F355" s="23" t="str">
        <f>IF(A355="","",IF(Calculator!C12="Beginning of Period",MAX(0,(B355-IF(J355="IO",Calculator!C22,Calculator!C21))*Calculator!C17),B355*Calculator!C17))</f>
        <v/>
      </c>
      <c r="G355" s="23" t="str">
        <f t="shared" si="26"/>
        <v/>
      </c>
      <c r="H355" s="23" t="str">
        <f t="shared" si="27"/>
        <v/>
      </c>
      <c r="I355" s="23" t="str">
        <f t="shared" si="29"/>
        <v/>
      </c>
      <c r="J355" s="24" t="str">
        <f>IF(A355="","",IF(A355&lt;=Calculator!C19,"IO","P&amp;I"))</f>
        <v/>
      </c>
    </row>
    <row r="356" spans="1:10" ht="15.75" customHeight="1" x14ac:dyDescent="0.25">
      <c r="A356" s="19" t="str">
        <f>IF(345&lt;=Calculator!C18,345,"")</f>
        <v/>
      </c>
      <c r="B356" s="20" t="str">
        <f t="shared" si="28"/>
        <v/>
      </c>
      <c r="C356" s="20" t="str">
        <f>IF(A356="","",IF(J356="IO",Calculator!C22,IF(B356&gt;0,MIN(Calculator!C21,B356*(1+Calculator!C17)),0)))</f>
        <v/>
      </c>
      <c r="D356" s="20" t="str">
        <f>IF(A356="","",IF(AND(J356="P&amp;I",A356&gt;=Calculator!C9),MIN(Calculator!C8,MAX(0,B356-C356+F356)),0))</f>
        <v/>
      </c>
      <c r="E356" s="20" t="str">
        <f t="shared" si="25"/>
        <v/>
      </c>
      <c r="F356" s="20" t="str">
        <f>IF(A356="","",IF(Calculator!C12="Beginning of Period",MAX(0,(B356-IF(J356="IO",Calculator!C22,Calculator!C21))*Calculator!C17),B356*Calculator!C17))</f>
        <v/>
      </c>
      <c r="G356" s="20" t="str">
        <f t="shared" si="26"/>
        <v/>
      </c>
      <c r="H356" s="20" t="str">
        <f t="shared" si="27"/>
        <v/>
      </c>
      <c r="I356" s="20" t="str">
        <f t="shared" si="29"/>
        <v/>
      </c>
      <c r="J356" s="21" t="str">
        <f>IF(A356="","",IF(A356&lt;=Calculator!C19,"IO","P&amp;I"))</f>
        <v/>
      </c>
    </row>
    <row r="357" spans="1:10" ht="15.75" customHeight="1" x14ac:dyDescent="0.25">
      <c r="A357" s="22" t="str">
        <f>IF(346&lt;=Calculator!C18,346,"")</f>
        <v/>
      </c>
      <c r="B357" s="23" t="str">
        <f t="shared" si="28"/>
        <v/>
      </c>
      <c r="C357" s="23" t="str">
        <f>IF(A357="","",IF(J357="IO",Calculator!C22,IF(B357&gt;0,MIN(Calculator!C21,B357*(1+Calculator!C17)),0)))</f>
        <v/>
      </c>
      <c r="D357" s="23" t="str">
        <f>IF(A357="","",IF(AND(J357="P&amp;I",A357&gt;=Calculator!C9),MIN(Calculator!C8,MAX(0,B357-C357+F357)),0))</f>
        <v/>
      </c>
      <c r="E357" s="23" t="str">
        <f t="shared" si="25"/>
        <v/>
      </c>
      <c r="F357" s="23" t="str">
        <f>IF(A357="","",IF(Calculator!C12="Beginning of Period",MAX(0,(B357-IF(J357="IO",Calculator!C22,Calculator!C21))*Calculator!C17),B357*Calculator!C17))</f>
        <v/>
      </c>
      <c r="G357" s="23" t="str">
        <f t="shared" si="26"/>
        <v/>
      </c>
      <c r="H357" s="23" t="str">
        <f t="shared" si="27"/>
        <v/>
      </c>
      <c r="I357" s="23" t="str">
        <f t="shared" si="29"/>
        <v/>
      </c>
      <c r="J357" s="24" t="str">
        <f>IF(A357="","",IF(A357&lt;=Calculator!C19,"IO","P&amp;I"))</f>
        <v/>
      </c>
    </row>
    <row r="358" spans="1:10" ht="15.75" customHeight="1" x14ac:dyDescent="0.25">
      <c r="A358" s="19" t="str">
        <f>IF(347&lt;=Calculator!C18,347,"")</f>
        <v/>
      </c>
      <c r="B358" s="20" t="str">
        <f t="shared" si="28"/>
        <v/>
      </c>
      <c r="C358" s="20" t="str">
        <f>IF(A358="","",IF(J358="IO",Calculator!C22,IF(B358&gt;0,MIN(Calculator!C21,B358*(1+Calculator!C17)),0)))</f>
        <v/>
      </c>
      <c r="D358" s="20" t="str">
        <f>IF(A358="","",IF(AND(J358="P&amp;I",A358&gt;=Calculator!C9),MIN(Calculator!C8,MAX(0,B358-C358+F358)),0))</f>
        <v/>
      </c>
      <c r="E358" s="20" t="str">
        <f t="shared" si="25"/>
        <v/>
      </c>
      <c r="F358" s="20" t="str">
        <f>IF(A358="","",IF(Calculator!C12="Beginning of Period",MAX(0,(B358-IF(J358="IO",Calculator!C22,Calculator!C21))*Calculator!C17),B358*Calculator!C17))</f>
        <v/>
      </c>
      <c r="G358" s="20" t="str">
        <f t="shared" si="26"/>
        <v/>
      </c>
      <c r="H358" s="20" t="str">
        <f t="shared" si="27"/>
        <v/>
      </c>
      <c r="I358" s="20" t="str">
        <f t="shared" si="29"/>
        <v/>
      </c>
      <c r="J358" s="21" t="str">
        <f>IF(A358="","",IF(A358&lt;=Calculator!C19,"IO","P&amp;I"))</f>
        <v/>
      </c>
    </row>
    <row r="359" spans="1:10" ht="15.75" customHeight="1" x14ac:dyDescent="0.25">
      <c r="A359" s="22" t="str">
        <f>IF(348&lt;=Calculator!C18,348,"")</f>
        <v/>
      </c>
      <c r="B359" s="23" t="str">
        <f t="shared" si="28"/>
        <v/>
      </c>
      <c r="C359" s="23" t="str">
        <f>IF(A359="","",IF(J359="IO",Calculator!C22,IF(B359&gt;0,MIN(Calculator!C21,B359*(1+Calculator!C17)),0)))</f>
        <v/>
      </c>
      <c r="D359" s="23" t="str">
        <f>IF(A359="","",IF(AND(J359="P&amp;I",A359&gt;=Calculator!C9),MIN(Calculator!C8,MAX(0,B359-C359+F359)),0))</f>
        <v/>
      </c>
      <c r="E359" s="23" t="str">
        <f t="shared" si="25"/>
        <v/>
      </c>
      <c r="F359" s="23" t="str">
        <f>IF(A359="","",IF(Calculator!C12="Beginning of Period",MAX(0,(B359-IF(J359="IO",Calculator!C22,Calculator!C21))*Calculator!C17),B359*Calculator!C17))</f>
        <v/>
      </c>
      <c r="G359" s="23" t="str">
        <f t="shared" si="26"/>
        <v/>
      </c>
      <c r="H359" s="23" t="str">
        <f t="shared" si="27"/>
        <v/>
      </c>
      <c r="I359" s="23" t="str">
        <f t="shared" si="29"/>
        <v/>
      </c>
      <c r="J359" s="24" t="str">
        <f>IF(A359="","",IF(A359&lt;=Calculator!C19,"IO","P&amp;I"))</f>
        <v/>
      </c>
    </row>
    <row r="360" spans="1:10" ht="15.75" customHeight="1" x14ac:dyDescent="0.25">
      <c r="A360" s="19" t="str">
        <f>IF(349&lt;=Calculator!C18,349,"")</f>
        <v/>
      </c>
      <c r="B360" s="20" t="str">
        <f t="shared" si="28"/>
        <v/>
      </c>
      <c r="C360" s="20" t="str">
        <f>IF(A360="","",IF(J360="IO",Calculator!C22,IF(B360&gt;0,MIN(Calculator!C21,B360*(1+Calculator!C17)),0)))</f>
        <v/>
      </c>
      <c r="D360" s="20" t="str">
        <f>IF(A360="","",IF(AND(J360="P&amp;I",A360&gt;=Calculator!C9),MIN(Calculator!C8,MAX(0,B360-C360+F360)),0))</f>
        <v/>
      </c>
      <c r="E360" s="20" t="str">
        <f t="shared" si="25"/>
        <v/>
      </c>
      <c r="F360" s="20" t="str">
        <f>IF(A360="","",IF(Calculator!C12="Beginning of Period",MAX(0,(B360-IF(J360="IO",Calculator!C22,Calculator!C21))*Calculator!C17),B360*Calculator!C17))</f>
        <v/>
      </c>
      <c r="G360" s="20" t="str">
        <f t="shared" si="26"/>
        <v/>
      </c>
      <c r="H360" s="20" t="str">
        <f t="shared" si="27"/>
        <v/>
      </c>
      <c r="I360" s="20" t="str">
        <f t="shared" si="29"/>
        <v/>
      </c>
      <c r="J360" s="21" t="str">
        <f>IF(A360="","",IF(A360&lt;=Calculator!C19,"IO","P&amp;I"))</f>
        <v/>
      </c>
    </row>
    <row r="361" spans="1:10" ht="15.75" customHeight="1" x14ac:dyDescent="0.25">
      <c r="A361" s="22" t="str">
        <f>IF(350&lt;=Calculator!C18,350,"")</f>
        <v/>
      </c>
      <c r="B361" s="23" t="str">
        <f t="shared" si="28"/>
        <v/>
      </c>
      <c r="C361" s="23" t="str">
        <f>IF(A361="","",IF(J361="IO",Calculator!C22,IF(B361&gt;0,MIN(Calculator!C21,B361*(1+Calculator!C17)),0)))</f>
        <v/>
      </c>
      <c r="D361" s="23" t="str">
        <f>IF(A361="","",IF(AND(J361="P&amp;I",A361&gt;=Calculator!C9),MIN(Calculator!C8,MAX(0,B361-C361+F361)),0))</f>
        <v/>
      </c>
      <c r="E361" s="23" t="str">
        <f t="shared" si="25"/>
        <v/>
      </c>
      <c r="F361" s="23" t="str">
        <f>IF(A361="","",IF(Calculator!C12="Beginning of Period",MAX(0,(B361-IF(J361="IO",Calculator!C22,Calculator!C21))*Calculator!C17),B361*Calculator!C17))</f>
        <v/>
      </c>
      <c r="G361" s="23" t="str">
        <f t="shared" si="26"/>
        <v/>
      </c>
      <c r="H361" s="23" t="str">
        <f t="shared" si="27"/>
        <v/>
      </c>
      <c r="I361" s="23" t="str">
        <f t="shared" si="29"/>
        <v/>
      </c>
      <c r="J361" s="24" t="str">
        <f>IF(A361="","",IF(A361&lt;=Calculator!C19,"IO","P&amp;I"))</f>
        <v/>
      </c>
    </row>
    <row r="362" spans="1:10" ht="15.75" customHeight="1" x14ac:dyDescent="0.25">
      <c r="A362" s="19" t="str">
        <f>IF(351&lt;=Calculator!C18,351,"")</f>
        <v/>
      </c>
      <c r="B362" s="20" t="str">
        <f t="shared" si="28"/>
        <v/>
      </c>
      <c r="C362" s="20" t="str">
        <f>IF(A362="","",IF(J362="IO",Calculator!C22,IF(B362&gt;0,MIN(Calculator!C21,B362*(1+Calculator!C17)),0)))</f>
        <v/>
      </c>
      <c r="D362" s="20" t="str">
        <f>IF(A362="","",IF(AND(J362="P&amp;I",A362&gt;=Calculator!C9),MIN(Calculator!C8,MAX(0,B362-C362+F362)),0))</f>
        <v/>
      </c>
      <c r="E362" s="20" t="str">
        <f t="shared" si="25"/>
        <v/>
      </c>
      <c r="F362" s="20" t="str">
        <f>IF(A362="","",IF(Calculator!C12="Beginning of Period",MAX(0,(B362-IF(J362="IO",Calculator!C22,Calculator!C21))*Calculator!C17),B362*Calculator!C17))</f>
        <v/>
      </c>
      <c r="G362" s="20" t="str">
        <f t="shared" si="26"/>
        <v/>
      </c>
      <c r="H362" s="20" t="str">
        <f t="shared" si="27"/>
        <v/>
      </c>
      <c r="I362" s="20" t="str">
        <f t="shared" si="29"/>
        <v/>
      </c>
      <c r="J362" s="21" t="str">
        <f>IF(A362="","",IF(A362&lt;=Calculator!C19,"IO","P&amp;I"))</f>
        <v/>
      </c>
    </row>
    <row r="363" spans="1:10" ht="15.75" customHeight="1" x14ac:dyDescent="0.25">
      <c r="A363" s="22" t="str">
        <f>IF(352&lt;=Calculator!C18,352,"")</f>
        <v/>
      </c>
      <c r="B363" s="23" t="str">
        <f t="shared" si="28"/>
        <v/>
      </c>
      <c r="C363" s="23" t="str">
        <f>IF(A363="","",IF(J363="IO",Calculator!C22,IF(B363&gt;0,MIN(Calculator!C21,B363*(1+Calculator!C17)),0)))</f>
        <v/>
      </c>
      <c r="D363" s="23" t="str">
        <f>IF(A363="","",IF(AND(J363="P&amp;I",A363&gt;=Calculator!C9),MIN(Calculator!C8,MAX(0,B363-C363+F363)),0))</f>
        <v/>
      </c>
      <c r="E363" s="23" t="str">
        <f t="shared" si="25"/>
        <v/>
      </c>
      <c r="F363" s="23" t="str">
        <f>IF(A363="","",IF(Calculator!C12="Beginning of Period",MAX(0,(B363-IF(J363="IO",Calculator!C22,Calculator!C21))*Calculator!C17),B363*Calculator!C17))</f>
        <v/>
      </c>
      <c r="G363" s="23" t="str">
        <f t="shared" si="26"/>
        <v/>
      </c>
      <c r="H363" s="23" t="str">
        <f t="shared" si="27"/>
        <v/>
      </c>
      <c r="I363" s="23" t="str">
        <f t="shared" si="29"/>
        <v/>
      </c>
      <c r="J363" s="24" t="str">
        <f>IF(A363="","",IF(A363&lt;=Calculator!C19,"IO","P&amp;I"))</f>
        <v/>
      </c>
    </row>
    <row r="364" spans="1:10" ht="15.75" customHeight="1" x14ac:dyDescent="0.25">
      <c r="A364" s="19" t="str">
        <f>IF(353&lt;=Calculator!C18,353,"")</f>
        <v/>
      </c>
      <c r="B364" s="20" t="str">
        <f t="shared" si="28"/>
        <v/>
      </c>
      <c r="C364" s="20" t="str">
        <f>IF(A364="","",IF(J364="IO",Calculator!C22,IF(B364&gt;0,MIN(Calculator!C21,B364*(1+Calculator!C17)),0)))</f>
        <v/>
      </c>
      <c r="D364" s="20" t="str">
        <f>IF(A364="","",IF(AND(J364="P&amp;I",A364&gt;=Calculator!C9),MIN(Calculator!C8,MAX(0,B364-C364+F364)),0))</f>
        <v/>
      </c>
      <c r="E364" s="20" t="str">
        <f t="shared" si="25"/>
        <v/>
      </c>
      <c r="F364" s="20" t="str">
        <f>IF(A364="","",IF(Calculator!C12="Beginning of Period",MAX(0,(B364-IF(J364="IO",Calculator!C22,Calculator!C21))*Calculator!C17),B364*Calculator!C17))</f>
        <v/>
      </c>
      <c r="G364" s="20" t="str">
        <f t="shared" si="26"/>
        <v/>
      </c>
      <c r="H364" s="20" t="str">
        <f t="shared" si="27"/>
        <v/>
      </c>
      <c r="I364" s="20" t="str">
        <f t="shared" si="29"/>
        <v/>
      </c>
      <c r="J364" s="21" t="str">
        <f>IF(A364="","",IF(A364&lt;=Calculator!C19,"IO","P&amp;I"))</f>
        <v/>
      </c>
    </row>
    <row r="365" spans="1:10" ht="15.75" customHeight="1" x14ac:dyDescent="0.25">
      <c r="A365" s="22" t="str">
        <f>IF(354&lt;=Calculator!C18,354,"")</f>
        <v/>
      </c>
      <c r="B365" s="23" t="str">
        <f t="shared" si="28"/>
        <v/>
      </c>
      <c r="C365" s="23" t="str">
        <f>IF(A365="","",IF(J365="IO",Calculator!C22,IF(B365&gt;0,MIN(Calculator!C21,B365*(1+Calculator!C17)),0)))</f>
        <v/>
      </c>
      <c r="D365" s="23" t="str">
        <f>IF(A365="","",IF(AND(J365="P&amp;I",A365&gt;=Calculator!C9),MIN(Calculator!C8,MAX(0,B365-C365+F365)),0))</f>
        <v/>
      </c>
      <c r="E365" s="23" t="str">
        <f t="shared" si="25"/>
        <v/>
      </c>
      <c r="F365" s="23" t="str">
        <f>IF(A365="","",IF(Calculator!C12="Beginning of Period",MAX(0,(B365-IF(J365="IO",Calculator!C22,Calculator!C21))*Calculator!C17),B365*Calculator!C17))</f>
        <v/>
      </c>
      <c r="G365" s="23" t="str">
        <f t="shared" si="26"/>
        <v/>
      </c>
      <c r="H365" s="23" t="str">
        <f t="shared" si="27"/>
        <v/>
      </c>
      <c r="I365" s="23" t="str">
        <f t="shared" si="29"/>
        <v/>
      </c>
      <c r="J365" s="24" t="str">
        <f>IF(A365="","",IF(A365&lt;=Calculator!C19,"IO","P&amp;I"))</f>
        <v/>
      </c>
    </row>
    <row r="366" spans="1:10" ht="15.75" customHeight="1" x14ac:dyDescent="0.25">
      <c r="A366" s="19" t="str">
        <f>IF(355&lt;=Calculator!C18,355,"")</f>
        <v/>
      </c>
      <c r="B366" s="20" t="str">
        <f t="shared" si="28"/>
        <v/>
      </c>
      <c r="C366" s="20" t="str">
        <f>IF(A366="","",IF(J366="IO",Calculator!C22,IF(B366&gt;0,MIN(Calculator!C21,B366*(1+Calculator!C17)),0)))</f>
        <v/>
      </c>
      <c r="D366" s="20" t="str">
        <f>IF(A366="","",IF(AND(J366="P&amp;I",A366&gt;=Calculator!C9),MIN(Calculator!C8,MAX(0,B366-C366+F366)),0))</f>
        <v/>
      </c>
      <c r="E366" s="20" t="str">
        <f t="shared" si="25"/>
        <v/>
      </c>
      <c r="F366" s="20" t="str">
        <f>IF(A366="","",IF(Calculator!C12="Beginning of Period",MAX(0,(B366-IF(J366="IO",Calculator!C22,Calculator!C21))*Calculator!C17),B366*Calculator!C17))</f>
        <v/>
      </c>
      <c r="G366" s="20" t="str">
        <f t="shared" si="26"/>
        <v/>
      </c>
      <c r="H366" s="20" t="str">
        <f t="shared" si="27"/>
        <v/>
      </c>
      <c r="I366" s="20" t="str">
        <f t="shared" si="29"/>
        <v/>
      </c>
      <c r="J366" s="21" t="str">
        <f>IF(A366="","",IF(A366&lt;=Calculator!C19,"IO","P&amp;I"))</f>
        <v/>
      </c>
    </row>
    <row r="367" spans="1:10" ht="15.75" customHeight="1" x14ac:dyDescent="0.25">
      <c r="A367" s="22" t="str">
        <f>IF(356&lt;=Calculator!C18,356,"")</f>
        <v/>
      </c>
      <c r="B367" s="23" t="str">
        <f t="shared" si="28"/>
        <v/>
      </c>
      <c r="C367" s="23" t="str">
        <f>IF(A367="","",IF(J367="IO",Calculator!C22,IF(B367&gt;0,MIN(Calculator!C21,B367*(1+Calculator!C17)),0)))</f>
        <v/>
      </c>
      <c r="D367" s="23" t="str">
        <f>IF(A367="","",IF(AND(J367="P&amp;I",A367&gt;=Calculator!C9),MIN(Calculator!C8,MAX(0,B367-C367+F367)),0))</f>
        <v/>
      </c>
      <c r="E367" s="23" t="str">
        <f t="shared" si="25"/>
        <v/>
      </c>
      <c r="F367" s="23" t="str">
        <f>IF(A367="","",IF(Calculator!C12="Beginning of Period",MAX(0,(B367-IF(J367="IO",Calculator!C22,Calculator!C21))*Calculator!C17),B367*Calculator!C17))</f>
        <v/>
      </c>
      <c r="G367" s="23" t="str">
        <f t="shared" si="26"/>
        <v/>
      </c>
      <c r="H367" s="23" t="str">
        <f t="shared" si="27"/>
        <v/>
      </c>
      <c r="I367" s="23" t="str">
        <f t="shared" si="29"/>
        <v/>
      </c>
      <c r="J367" s="24" t="str">
        <f>IF(A367="","",IF(A367&lt;=Calculator!C19,"IO","P&amp;I"))</f>
        <v/>
      </c>
    </row>
    <row r="368" spans="1:10" ht="15.75" customHeight="1" x14ac:dyDescent="0.25">
      <c r="A368" s="19" t="str">
        <f>IF(357&lt;=Calculator!C18,357,"")</f>
        <v/>
      </c>
      <c r="B368" s="20" t="str">
        <f t="shared" si="28"/>
        <v/>
      </c>
      <c r="C368" s="20" t="str">
        <f>IF(A368="","",IF(J368="IO",Calculator!C22,IF(B368&gt;0,MIN(Calculator!C21,B368*(1+Calculator!C17)),0)))</f>
        <v/>
      </c>
      <c r="D368" s="20" t="str">
        <f>IF(A368="","",IF(AND(J368="P&amp;I",A368&gt;=Calculator!C9),MIN(Calculator!C8,MAX(0,B368-C368+F368)),0))</f>
        <v/>
      </c>
      <c r="E368" s="20" t="str">
        <f t="shared" si="25"/>
        <v/>
      </c>
      <c r="F368" s="20" t="str">
        <f>IF(A368="","",IF(Calculator!C12="Beginning of Period",MAX(0,(B368-IF(J368="IO",Calculator!C22,Calculator!C21))*Calculator!C17),B368*Calculator!C17))</f>
        <v/>
      </c>
      <c r="G368" s="20" t="str">
        <f t="shared" si="26"/>
        <v/>
      </c>
      <c r="H368" s="20" t="str">
        <f t="shared" si="27"/>
        <v/>
      </c>
      <c r="I368" s="20" t="str">
        <f t="shared" si="29"/>
        <v/>
      </c>
      <c r="J368" s="21" t="str">
        <f>IF(A368="","",IF(A368&lt;=Calculator!C19,"IO","P&amp;I"))</f>
        <v/>
      </c>
    </row>
    <row r="369" spans="1:10" ht="15.75" customHeight="1" x14ac:dyDescent="0.25">
      <c r="A369" s="22" t="str">
        <f>IF(358&lt;=Calculator!C18,358,"")</f>
        <v/>
      </c>
      <c r="B369" s="23" t="str">
        <f t="shared" si="28"/>
        <v/>
      </c>
      <c r="C369" s="23" t="str">
        <f>IF(A369="","",IF(J369="IO",Calculator!C22,IF(B369&gt;0,MIN(Calculator!C21,B369*(1+Calculator!C17)),0)))</f>
        <v/>
      </c>
      <c r="D369" s="23" t="str">
        <f>IF(A369="","",IF(AND(J369="P&amp;I",A369&gt;=Calculator!C9),MIN(Calculator!C8,MAX(0,B369-C369+F369)),0))</f>
        <v/>
      </c>
      <c r="E369" s="23" t="str">
        <f t="shared" si="25"/>
        <v/>
      </c>
      <c r="F369" s="23" t="str">
        <f>IF(A369="","",IF(Calculator!C12="Beginning of Period",MAX(0,(B369-IF(J369="IO",Calculator!C22,Calculator!C21))*Calculator!C17),B369*Calculator!C17))</f>
        <v/>
      </c>
      <c r="G369" s="23" t="str">
        <f t="shared" si="26"/>
        <v/>
      </c>
      <c r="H369" s="23" t="str">
        <f t="shared" si="27"/>
        <v/>
      </c>
      <c r="I369" s="23" t="str">
        <f t="shared" si="29"/>
        <v/>
      </c>
      <c r="J369" s="24" t="str">
        <f>IF(A369="","",IF(A369&lt;=Calculator!C19,"IO","P&amp;I"))</f>
        <v/>
      </c>
    </row>
    <row r="370" spans="1:10" ht="15.75" customHeight="1" x14ac:dyDescent="0.25">
      <c r="A370" s="19" t="str">
        <f>IF(359&lt;=Calculator!C18,359,"")</f>
        <v/>
      </c>
      <c r="B370" s="20" t="str">
        <f t="shared" si="28"/>
        <v/>
      </c>
      <c r="C370" s="20" t="str">
        <f>IF(A370="","",IF(J370="IO",Calculator!C22,IF(B370&gt;0,MIN(Calculator!C21,B370*(1+Calculator!C17)),0)))</f>
        <v/>
      </c>
      <c r="D370" s="20" t="str">
        <f>IF(A370="","",IF(AND(J370="P&amp;I",A370&gt;=Calculator!C9),MIN(Calculator!C8,MAX(0,B370-C370+F370)),0))</f>
        <v/>
      </c>
      <c r="E370" s="20" t="str">
        <f t="shared" si="25"/>
        <v/>
      </c>
      <c r="F370" s="20" t="str">
        <f>IF(A370="","",IF(Calculator!C12="Beginning of Period",MAX(0,(B370-IF(J370="IO",Calculator!C22,Calculator!C21))*Calculator!C17),B370*Calculator!C17))</f>
        <v/>
      </c>
      <c r="G370" s="20" t="str">
        <f t="shared" si="26"/>
        <v/>
      </c>
      <c r="H370" s="20" t="str">
        <f t="shared" si="27"/>
        <v/>
      </c>
      <c r="I370" s="20" t="str">
        <f t="shared" si="29"/>
        <v/>
      </c>
      <c r="J370" s="21" t="str">
        <f>IF(A370="","",IF(A370&lt;=Calculator!C19,"IO","P&amp;I"))</f>
        <v/>
      </c>
    </row>
    <row r="371" spans="1:10" ht="15.75" customHeight="1" x14ac:dyDescent="0.25">
      <c r="A371" s="22" t="str">
        <f>IF(360&lt;=Calculator!C18,360,"")</f>
        <v/>
      </c>
      <c r="B371" s="23" t="str">
        <f t="shared" si="28"/>
        <v/>
      </c>
      <c r="C371" s="23" t="str">
        <f>IF(A371="","",IF(J371="IO",Calculator!C22,IF(B371&gt;0,MIN(Calculator!C21,B371*(1+Calculator!C17)),0)))</f>
        <v/>
      </c>
      <c r="D371" s="23" t="str">
        <f>IF(A371="","",IF(AND(J371="P&amp;I",A371&gt;=Calculator!C9),MIN(Calculator!C8,MAX(0,B371-C371+F371)),0))</f>
        <v/>
      </c>
      <c r="E371" s="23" t="str">
        <f t="shared" si="25"/>
        <v/>
      </c>
      <c r="F371" s="23" t="str">
        <f>IF(A371="","",IF(Calculator!C12="Beginning of Period",MAX(0,(B371-IF(J371="IO",Calculator!C22,Calculator!C21))*Calculator!C17),B371*Calculator!C17))</f>
        <v/>
      </c>
      <c r="G371" s="23" t="str">
        <f t="shared" si="26"/>
        <v/>
      </c>
      <c r="H371" s="23" t="str">
        <f t="shared" si="27"/>
        <v/>
      </c>
      <c r="I371" s="23" t="str">
        <f t="shared" si="29"/>
        <v/>
      </c>
      <c r="J371" s="24" t="str">
        <f>IF(A371="","",IF(A371&lt;=Calculator!C19,"IO","P&amp;I"))</f>
        <v/>
      </c>
    </row>
    <row r="372" spans="1:10" ht="15.75" customHeight="1" x14ac:dyDescent="0.25">
      <c r="A372" s="19" t="str">
        <f>IF(361&lt;=Calculator!C18,361,"")</f>
        <v/>
      </c>
      <c r="B372" s="20" t="str">
        <f t="shared" si="28"/>
        <v/>
      </c>
      <c r="C372" s="20" t="str">
        <f>IF(A372="","",IF(J372="IO",Calculator!C22,IF(B372&gt;0,MIN(Calculator!C21,B372*(1+Calculator!C17)),0)))</f>
        <v/>
      </c>
      <c r="D372" s="20" t="str">
        <f>IF(A372="","",IF(AND(J372="P&amp;I",A372&gt;=Calculator!C9),MIN(Calculator!C8,MAX(0,B372-C372+F372)),0))</f>
        <v/>
      </c>
      <c r="E372" s="20" t="str">
        <f t="shared" si="25"/>
        <v/>
      </c>
      <c r="F372" s="20" t="str">
        <f>IF(A372="","",IF(Calculator!C12="Beginning of Period",MAX(0,(B372-IF(J372="IO",Calculator!C22,Calculator!C21))*Calculator!C17),B372*Calculator!C17))</f>
        <v/>
      </c>
      <c r="G372" s="20" t="str">
        <f t="shared" si="26"/>
        <v/>
      </c>
      <c r="H372" s="20" t="str">
        <f t="shared" si="27"/>
        <v/>
      </c>
      <c r="I372" s="20" t="str">
        <f t="shared" si="29"/>
        <v/>
      </c>
      <c r="J372" s="21" t="str">
        <f>IF(A372="","",IF(A372&lt;=Calculator!C19,"IO","P&amp;I"))</f>
        <v/>
      </c>
    </row>
    <row r="373" spans="1:10" ht="15.75" customHeight="1" x14ac:dyDescent="0.25">
      <c r="A373" s="22" t="str">
        <f>IF(362&lt;=Calculator!C18,362,"")</f>
        <v/>
      </c>
      <c r="B373" s="23" t="str">
        <f t="shared" si="28"/>
        <v/>
      </c>
      <c r="C373" s="23" t="str">
        <f>IF(A373="","",IF(J373="IO",Calculator!C22,IF(B373&gt;0,MIN(Calculator!C21,B373*(1+Calculator!C17)),0)))</f>
        <v/>
      </c>
      <c r="D373" s="23" t="str">
        <f>IF(A373="","",IF(AND(J373="P&amp;I",A373&gt;=Calculator!C9),MIN(Calculator!C8,MAX(0,B373-C373+F373)),0))</f>
        <v/>
      </c>
      <c r="E373" s="23" t="str">
        <f t="shared" si="25"/>
        <v/>
      </c>
      <c r="F373" s="23" t="str">
        <f>IF(A373="","",IF(Calculator!C12="Beginning of Period",MAX(0,(B373-IF(J373="IO",Calculator!C22,Calculator!C21))*Calculator!C17),B373*Calculator!C17))</f>
        <v/>
      </c>
      <c r="G373" s="23" t="str">
        <f t="shared" si="26"/>
        <v/>
      </c>
      <c r="H373" s="23" t="str">
        <f t="shared" si="27"/>
        <v/>
      </c>
      <c r="I373" s="23" t="str">
        <f t="shared" si="29"/>
        <v/>
      </c>
      <c r="J373" s="24" t="str">
        <f>IF(A373="","",IF(A373&lt;=Calculator!C19,"IO","P&amp;I"))</f>
        <v/>
      </c>
    </row>
    <row r="374" spans="1:10" ht="15.75" customHeight="1" x14ac:dyDescent="0.25">
      <c r="A374" s="19" t="str">
        <f>IF(363&lt;=Calculator!C18,363,"")</f>
        <v/>
      </c>
      <c r="B374" s="20" t="str">
        <f t="shared" si="28"/>
        <v/>
      </c>
      <c r="C374" s="20" t="str">
        <f>IF(A374="","",IF(J374="IO",Calculator!C22,IF(B374&gt;0,MIN(Calculator!C21,B374*(1+Calculator!C17)),0)))</f>
        <v/>
      </c>
      <c r="D374" s="20" t="str">
        <f>IF(A374="","",IF(AND(J374="P&amp;I",A374&gt;=Calculator!C9),MIN(Calculator!C8,MAX(0,B374-C374+F374)),0))</f>
        <v/>
      </c>
      <c r="E374" s="20" t="str">
        <f t="shared" si="25"/>
        <v/>
      </c>
      <c r="F374" s="20" t="str">
        <f>IF(A374="","",IF(Calculator!C12="Beginning of Period",MAX(0,(B374-IF(J374="IO",Calculator!C22,Calculator!C21))*Calculator!C17),B374*Calculator!C17))</f>
        <v/>
      </c>
      <c r="G374" s="20" t="str">
        <f t="shared" si="26"/>
        <v/>
      </c>
      <c r="H374" s="20" t="str">
        <f t="shared" si="27"/>
        <v/>
      </c>
      <c r="I374" s="20" t="str">
        <f t="shared" si="29"/>
        <v/>
      </c>
      <c r="J374" s="21" t="str">
        <f>IF(A374="","",IF(A374&lt;=Calculator!C19,"IO","P&amp;I"))</f>
        <v/>
      </c>
    </row>
    <row r="375" spans="1:10" ht="15.75" customHeight="1" x14ac:dyDescent="0.25">
      <c r="A375" s="22" t="str">
        <f>IF(364&lt;=Calculator!C18,364,"")</f>
        <v/>
      </c>
      <c r="B375" s="23" t="str">
        <f t="shared" si="28"/>
        <v/>
      </c>
      <c r="C375" s="23" t="str">
        <f>IF(A375="","",IF(J375="IO",Calculator!C22,IF(B375&gt;0,MIN(Calculator!C21,B375*(1+Calculator!C17)),0)))</f>
        <v/>
      </c>
      <c r="D375" s="23" t="str">
        <f>IF(A375="","",IF(AND(J375="P&amp;I",A375&gt;=Calculator!C9),MIN(Calculator!C8,MAX(0,B375-C375+F375)),0))</f>
        <v/>
      </c>
      <c r="E375" s="23" t="str">
        <f t="shared" si="25"/>
        <v/>
      </c>
      <c r="F375" s="23" t="str">
        <f>IF(A375="","",IF(Calculator!C12="Beginning of Period",MAX(0,(B375-IF(J375="IO",Calculator!C22,Calculator!C21))*Calculator!C17),B375*Calculator!C17))</f>
        <v/>
      </c>
      <c r="G375" s="23" t="str">
        <f t="shared" si="26"/>
        <v/>
      </c>
      <c r="H375" s="23" t="str">
        <f t="shared" si="27"/>
        <v/>
      </c>
      <c r="I375" s="23" t="str">
        <f t="shared" si="29"/>
        <v/>
      </c>
      <c r="J375" s="24" t="str">
        <f>IF(A375="","",IF(A375&lt;=Calculator!C19,"IO","P&amp;I"))</f>
        <v/>
      </c>
    </row>
    <row r="376" spans="1:10" ht="15.75" customHeight="1" x14ac:dyDescent="0.25">
      <c r="A376" s="19" t="str">
        <f>IF(365&lt;=Calculator!C18,365,"")</f>
        <v/>
      </c>
      <c r="B376" s="20" t="str">
        <f t="shared" si="28"/>
        <v/>
      </c>
      <c r="C376" s="20" t="str">
        <f>IF(A376="","",IF(J376="IO",Calculator!C22,IF(B376&gt;0,MIN(Calculator!C21,B376*(1+Calculator!C17)),0)))</f>
        <v/>
      </c>
      <c r="D376" s="20" t="str">
        <f>IF(A376="","",IF(AND(J376="P&amp;I",A376&gt;=Calculator!C9),MIN(Calculator!C8,MAX(0,B376-C376+F376)),0))</f>
        <v/>
      </c>
      <c r="E376" s="20" t="str">
        <f t="shared" si="25"/>
        <v/>
      </c>
      <c r="F376" s="20" t="str">
        <f>IF(A376="","",IF(Calculator!C12="Beginning of Period",MAX(0,(B376-IF(J376="IO",Calculator!C22,Calculator!C21))*Calculator!C17),B376*Calculator!C17))</f>
        <v/>
      </c>
      <c r="G376" s="20" t="str">
        <f t="shared" si="26"/>
        <v/>
      </c>
      <c r="H376" s="20" t="str">
        <f t="shared" si="27"/>
        <v/>
      </c>
      <c r="I376" s="20" t="str">
        <f t="shared" si="29"/>
        <v/>
      </c>
      <c r="J376" s="21" t="str">
        <f>IF(A376="","",IF(A376&lt;=Calculator!C19,"IO","P&amp;I"))</f>
        <v/>
      </c>
    </row>
    <row r="377" spans="1:10" ht="15.75" customHeight="1" x14ac:dyDescent="0.25">
      <c r="A377" s="22" t="str">
        <f>IF(366&lt;=Calculator!C18,366,"")</f>
        <v/>
      </c>
      <c r="B377" s="23" t="str">
        <f t="shared" si="28"/>
        <v/>
      </c>
      <c r="C377" s="23" t="str">
        <f>IF(A377="","",IF(J377="IO",Calculator!C22,IF(B377&gt;0,MIN(Calculator!C21,B377*(1+Calculator!C17)),0)))</f>
        <v/>
      </c>
      <c r="D377" s="23" t="str">
        <f>IF(A377="","",IF(AND(J377="P&amp;I",A377&gt;=Calculator!C9),MIN(Calculator!C8,MAX(0,B377-C377+F377)),0))</f>
        <v/>
      </c>
      <c r="E377" s="23" t="str">
        <f t="shared" si="25"/>
        <v/>
      </c>
      <c r="F377" s="23" t="str">
        <f>IF(A377="","",IF(Calculator!C12="Beginning of Period",MAX(0,(B377-IF(J377="IO",Calculator!C22,Calculator!C21))*Calculator!C17),B377*Calculator!C17))</f>
        <v/>
      </c>
      <c r="G377" s="23" t="str">
        <f t="shared" si="26"/>
        <v/>
      </c>
      <c r="H377" s="23" t="str">
        <f t="shared" si="27"/>
        <v/>
      </c>
      <c r="I377" s="23" t="str">
        <f t="shared" si="29"/>
        <v/>
      </c>
      <c r="J377" s="24" t="str">
        <f>IF(A377="","",IF(A377&lt;=Calculator!C19,"IO","P&amp;I"))</f>
        <v/>
      </c>
    </row>
    <row r="378" spans="1:10" ht="15.75" customHeight="1" x14ac:dyDescent="0.25">
      <c r="A378" s="19" t="str">
        <f>IF(367&lt;=Calculator!C18,367,"")</f>
        <v/>
      </c>
      <c r="B378" s="20" t="str">
        <f t="shared" si="28"/>
        <v/>
      </c>
      <c r="C378" s="20" t="str">
        <f>IF(A378="","",IF(J378="IO",Calculator!C22,IF(B378&gt;0,MIN(Calculator!C21,B378*(1+Calculator!C17)),0)))</f>
        <v/>
      </c>
      <c r="D378" s="20" t="str">
        <f>IF(A378="","",IF(AND(J378="P&amp;I",A378&gt;=Calculator!C9),MIN(Calculator!C8,MAX(0,B378-C378+F378)),0))</f>
        <v/>
      </c>
      <c r="E378" s="20" t="str">
        <f t="shared" si="25"/>
        <v/>
      </c>
      <c r="F378" s="20" t="str">
        <f>IF(A378="","",IF(Calculator!C12="Beginning of Period",MAX(0,(B378-IF(J378="IO",Calculator!C22,Calculator!C21))*Calculator!C17),B378*Calculator!C17))</f>
        <v/>
      </c>
      <c r="G378" s="20" t="str">
        <f t="shared" si="26"/>
        <v/>
      </c>
      <c r="H378" s="20" t="str">
        <f t="shared" si="27"/>
        <v/>
      </c>
      <c r="I378" s="20" t="str">
        <f t="shared" si="29"/>
        <v/>
      </c>
      <c r="J378" s="21" t="str">
        <f>IF(A378="","",IF(A378&lt;=Calculator!C19,"IO","P&amp;I"))</f>
        <v/>
      </c>
    </row>
    <row r="379" spans="1:10" ht="15.75" customHeight="1" x14ac:dyDescent="0.25">
      <c r="A379" s="22" t="str">
        <f>IF(368&lt;=Calculator!C18,368,"")</f>
        <v/>
      </c>
      <c r="B379" s="23" t="str">
        <f t="shared" si="28"/>
        <v/>
      </c>
      <c r="C379" s="23" t="str">
        <f>IF(A379="","",IF(J379="IO",Calculator!C22,IF(B379&gt;0,MIN(Calculator!C21,B379*(1+Calculator!C17)),0)))</f>
        <v/>
      </c>
      <c r="D379" s="23" t="str">
        <f>IF(A379="","",IF(AND(J379="P&amp;I",A379&gt;=Calculator!C9),MIN(Calculator!C8,MAX(0,B379-C379+F379)),0))</f>
        <v/>
      </c>
      <c r="E379" s="23" t="str">
        <f t="shared" si="25"/>
        <v/>
      </c>
      <c r="F379" s="23" t="str">
        <f>IF(A379="","",IF(Calculator!C12="Beginning of Period",MAX(0,(B379-IF(J379="IO",Calculator!C22,Calculator!C21))*Calculator!C17),B379*Calculator!C17))</f>
        <v/>
      </c>
      <c r="G379" s="23" t="str">
        <f t="shared" si="26"/>
        <v/>
      </c>
      <c r="H379" s="23" t="str">
        <f t="shared" si="27"/>
        <v/>
      </c>
      <c r="I379" s="23" t="str">
        <f t="shared" si="29"/>
        <v/>
      </c>
      <c r="J379" s="24" t="str">
        <f>IF(A379="","",IF(A379&lt;=Calculator!C19,"IO","P&amp;I"))</f>
        <v/>
      </c>
    </row>
    <row r="380" spans="1:10" ht="15.75" customHeight="1" x14ac:dyDescent="0.25">
      <c r="A380" s="19" t="str">
        <f>IF(369&lt;=Calculator!C18,369,"")</f>
        <v/>
      </c>
      <c r="B380" s="20" t="str">
        <f t="shared" si="28"/>
        <v/>
      </c>
      <c r="C380" s="20" t="str">
        <f>IF(A380="","",IF(J380="IO",Calculator!C22,IF(B380&gt;0,MIN(Calculator!C21,B380*(1+Calculator!C17)),0)))</f>
        <v/>
      </c>
      <c r="D380" s="20" t="str">
        <f>IF(A380="","",IF(AND(J380="P&amp;I",A380&gt;=Calculator!C9),MIN(Calculator!C8,MAX(0,B380-C380+F380)),0))</f>
        <v/>
      </c>
      <c r="E380" s="20" t="str">
        <f t="shared" si="25"/>
        <v/>
      </c>
      <c r="F380" s="20" t="str">
        <f>IF(A380="","",IF(Calculator!C12="Beginning of Period",MAX(0,(B380-IF(J380="IO",Calculator!C22,Calculator!C21))*Calculator!C17),B380*Calculator!C17))</f>
        <v/>
      </c>
      <c r="G380" s="20" t="str">
        <f t="shared" si="26"/>
        <v/>
      </c>
      <c r="H380" s="20" t="str">
        <f t="shared" si="27"/>
        <v/>
      </c>
      <c r="I380" s="20" t="str">
        <f t="shared" si="29"/>
        <v/>
      </c>
      <c r="J380" s="21" t="str">
        <f>IF(A380="","",IF(A380&lt;=Calculator!C19,"IO","P&amp;I"))</f>
        <v/>
      </c>
    </row>
    <row r="381" spans="1:10" ht="15.75" customHeight="1" x14ac:dyDescent="0.25">
      <c r="A381" s="22" t="str">
        <f>IF(370&lt;=Calculator!C18,370,"")</f>
        <v/>
      </c>
      <c r="B381" s="23" t="str">
        <f t="shared" si="28"/>
        <v/>
      </c>
      <c r="C381" s="23" t="str">
        <f>IF(A381="","",IF(J381="IO",Calculator!C22,IF(B381&gt;0,MIN(Calculator!C21,B381*(1+Calculator!C17)),0)))</f>
        <v/>
      </c>
      <c r="D381" s="23" t="str">
        <f>IF(A381="","",IF(AND(J381="P&amp;I",A381&gt;=Calculator!C9),MIN(Calculator!C8,MAX(0,B381-C381+F381)),0))</f>
        <v/>
      </c>
      <c r="E381" s="23" t="str">
        <f t="shared" si="25"/>
        <v/>
      </c>
      <c r="F381" s="23" t="str">
        <f>IF(A381="","",IF(Calculator!C12="Beginning of Period",MAX(0,(B381-IF(J381="IO",Calculator!C22,Calculator!C21))*Calculator!C17),B381*Calculator!C17))</f>
        <v/>
      </c>
      <c r="G381" s="23" t="str">
        <f t="shared" si="26"/>
        <v/>
      </c>
      <c r="H381" s="23" t="str">
        <f t="shared" si="27"/>
        <v/>
      </c>
      <c r="I381" s="23" t="str">
        <f t="shared" si="29"/>
        <v/>
      </c>
      <c r="J381" s="24" t="str">
        <f>IF(A381="","",IF(A381&lt;=Calculator!C19,"IO","P&amp;I"))</f>
        <v/>
      </c>
    </row>
    <row r="382" spans="1:10" ht="15.75" customHeight="1" x14ac:dyDescent="0.25">
      <c r="A382" s="19" t="str">
        <f>IF(371&lt;=Calculator!C18,371,"")</f>
        <v/>
      </c>
      <c r="B382" s="20" t="str">
        <f t="shared" si="28"/>
        <v/>
      </c>
      <c r="C382" s="20" t="str">
        <f>IF(A382="","",IF(J382="IO",Calculator!C22,IF(B382&gt;0,MIN(Calculator!C21,B382*(1+Calculator!C17)),0)))</f>
        <v/>
      </c>
      <c r="D382" s="20" t="str">
        <f>IF(A382="","",IF(AND(J382="P&amp;I",A382&gt;=Calculator!C9),MIN(Calculator!C8,MAX(0,B382-C382+F382)),0))</f>
        <v/>
      </c>
      <c r="E382" s="20" t="str">
        <f t="shared" si="25"/>
        <v/>
      </c>
      <c r="F382" s="20" t="str">
        <f>IF(A382="","",IF(Calculator!C12="Beginning of Period",MAX(0,(B382-IF(J382="IO",Calculator!C22,Calculator!C21))*Calculator!C17),B382*Calculator!C17))</f>
        <v/>
      </c>
      <c r="G382" s="20" t="str">
        <f t="shared" si="26"/>
        <v/>
      </c>
      <c r="H382" s="20" t="str">
        <f t="shared" si="27"/>
        <v/>
      </c>
      <c r="I382" s="20" t="str">
        <f t="shared" si="29"/>
        <v/>
      </c>
      <c r="J382" s="21" t="str">
        <f>IF(A382="","",IF(A382&lt;=Calculator!C19,"IO","P&amp;I"))</f>
        <v/>
      </c>
    </row>
    <row r="383" spans="1:10" ht="15.75" customHeight="1" x14ac:dyDescent="0.25">
      <c r="A383" s="22" t="str">
        <f>IF(372&lt;=Calculator!C18,372,"")</f>
        <v/>
      </c>
      <c r="B383" s="23" t="str">
        <f t="shared" si="28"/>
        <v/>
      </c>
      <c r="C383" s="23" t="str">
        <f>IF(A383="","",IF(J383="IO",Calculator!C22,IF(B383&gt;0,MIN(Calculator!C21,B383*(1+Calculator!C17)),0)))</f>
        <v/>
      </c>
      <c r="D383" s="23" t="str">
        <f>IF(A383="","",IF(AND(J383="P&amp;I",A383&gt;=Calculator!C9),MIN(Calculator!C8,MAX(0,B383-C383+F383)),0))</f>
        <v/>
      </c>
      <c r="E383" s="23" t="str">
        <f t="shared" si="25"/>
        <v/>
      </c>
      <c r="F383" s="23" t="str">
        <f>IF(A383="","",IF(Calculator!C12="Beginning of Period",MAX(0,(B383-IF(J383="IO",Calculator!C22,Calculator!C21))*Calculator!C17),B383*Calculator!C17))</f>
        <v/>
      </c>
      <c r="G383" s="23" t="str">
        <f t="shared" si="26"/>
        <v/>
      </c>
      <c r="H383" s="23" t="str">
        <f t="shared" si="27"/>
        <v/>
      </c>
      <c r="I383" s="23" t="str">
        <f t="shared" si="29"/>
        <v/>
      </c>
      <c r="J383" s="24" t="str">
        <f>IF(A383="","",IF(A383&lt;=Calculator!C19,"IO","P&amp;I"))</f>
        <v/>
      </c>
    </row>
    <row r="384" spans="1:10" ht="15.75" customHeight="1" x14ac:dyDescent="0.25">
      <c r="A384" s="19" t="str">
        <f>IF(373&lt;=Calculator!C18,373,"")</f>
        <v/>
      </c>
      <c r="B384" s="20" t="str">
        <f t="shared" si="28"/>
        <v/>
      </c>
      <c r="C384" s="20" t="str">
        <f>IF(A384="","",IF(J384="IO",Calculator!C22,IF(B384&gt;0,MIN(Calculator!C21,B384*(1+Calculator!C17)),0)))</f>
        <v/>
      </c>
      <c r="D384" s="20" t="str">
        <f>IF(A384="","",IF(AND(J384="P&amp;I",A384&gt;=Calculator!C9),MIN(Calculator!C8,MAX(0,B384-C384+F384)),0))</f>
        <v/>
      </c>
      <c r="E384" s="20" t="str">
        <f t="shared" si="25"/>
        <v/>
      </c>
      <c r="F384" s="20" t="str">
        <f>IF(A384="","",IF(Calculator!C12="Beginning of Period",MAX(0,(B384-IF(J384="IO",Calculator!C22,Calculator!C21))*Calculator!C17),B384*Calculator!C17))</f>
        <v/>
      </c>
      <c r="G384" s="20" t="str">
        <f t="shared" si="26"/>
        <v/>
      </c>
      <c r="H384" s="20" t="str">
        <f t="shared" si="27"/>
        <v/>
      </c>
      <c r="I384" s="20" t="str">
        <f t="shared" si="29"/>
        <v/>
      </c>
      <c r="J384" s="21" t="str">
        <f>IF(A384="","",IF(A384&lt;=Calculator!C19,"IO","P&amp;I"))</f>
        <v/>
      </c>
    </row>
    <row r="385" spans="1:10" ht="15.75" customHeight="1" x14ac:dyDescent="0.25">
      <c r="A385" s="22" t="str">
        <f>IF(374&lt;=Calculator!C18,374,"")</f>
        <v/>
      </c>
      <c r="B385" s="23" t="str">
        <f t="shared" si="28"/>
        <v/>
      </c>
      <c r="C385" s="23" t="str">
        <f>IF(A385="","",IF(J385="IO",Calculator!C22,IF(B385&gt;0,MIN(Calculator!C21,B385*(1+Calculator!C17)),0)))</f>
        <v/>
      </c>
      <c r="D385" s="23" t="str">
        <f>IF(A385="","",IF(AND(J385="P&amp;I",A385&gt;=Calculator!C9),MIN(Calculator!C8,MAX(0,B385-C385+F385)),0))</f>
        <v/>
      </c>
      <c r="E385" s="23" t="str">
        <f t="shared" si="25"/>
        <v/>
      </c>
      <c r="F385" s="23" t="str">
        <f>IF(A385="","",IF(Calculator!C12="Beginning of Period",MAX(0,(B385-IF(J385="IO",Calculator!C22,Calculator!C21))*Calculator!C17),B385*Calculator!C17))</f>
        <v/>
      </c>
      <c r="G385" s="23" t="str">
        <f t="shared" si="26"/>
        <v/>
      </c>
      <c r="H385" s="23" t="str">
        <f t="shared" si="27"/>
        <v/>
      </c>
      <c r="I385" s="23" t="str">
        <f t="shared" si="29"/>
        <v/>
      </c>
      <c r="J385" s="24" t="str">
        <f>IF(A385="","",IF(A385&lt;=Calculator!C19,"IO","P&amp;I"))</f>
        <v/>
      </c>
    </row>
    <row r="386" spans="1:10" ht="15.75" customHeight="1" x14ac:dyDescent="0.25">
      <c r="A386" s="19" t="str">
        <f>IF(375&lt;=Calculator!C18,375,"")</f>
        <v/>
      </c>
      <c r="B386" s="20" t="str">
        <f t="shared" si="28"/>
        <v/>
      </c>
      <c r="C386" s="20" t="str">
        <f>IF(A386="","",IF(J386="IO",Calculator!C22,IF(B386&gt;0,MIN(Calculator!C21,B386*(1+Calculator!C17)),0)))</f>
        <v/>
      </c>
      <c r="D386" s="20" t="str">
        <f>IF(A386="","",IF(AND(J386="P&amp;I",A386&gt;=Calculator!C9),MIN(Calculator!C8,MAX(0,B386-C386+F386)),0))</f>
        <v/>
      </c>
      <c r="E386" s="20" t="str">
        <f t="shared" si="25"/>
        <v/>
      </c>
      <c r="F386" s="20" t="str">
        <f>IF(A386="","",IF(Calculator!C12="Beginning of Period",MAX(0,(B386-IF(J386="IO",Calculator!C22,Calculator!C21))*Calculator!C17),B386*Calculator!C17))</f>
        <v/>
      </c>
      <c r="G386" s="20" t="str">
        <f t="shared" si="26"/>
        <v/>
      </c>
      <c r="H386" s="20" t="str">
        <f t="shared" si="27"/>
        <v/>
      </c>
      <c r="I386" s="20" t="str">
        <f t="shared" si="29"/>
        <v/>
      </c>
      <c r="J386" s="21" t="str">
        <f>IF(A386="","",IF(A386&lt;=Calculator!C19,"IO","P&amp;I"))</f>
        <v/>
      </c>
    </row>
    <row r="387" spans="1:10" ht="15.75" customHeight="1" x14ac:dyDescent="0.25">
      <c r="A387" s="22" t="str">
        <f>IF(376&lt;=Calculator!C18,376,"")</f>
        <v/>
      </c>
      <c r="B387" s="23" t="str">
        <f t="shared" si="28"/>
        <v/>
      </c>
      <c r="C387" s="23" t="str">
        <f>IF(A387="","",IF(J387="IO",Calculator!C22,IF(B387&gt;0,MIN(Calculator!C21,B387*(1+Calculator!C17)),0)))</f>
        <v/>
      </c>
      <c r="D387" s="23" t="str">
        <f>IF(A387="","",IF(AND(J387="P&amp;I",A387&gt;=Calculator!C9),MIN(Calculator!C8,MAX(0,B387-C387+F387)),0))</f>
        <v/>
      </c>
      <c r="E387" s="23" t="str">
        <f t="shared" si="25"/>
        <v/>
      </c>
      <c r="F387" s="23" t="str">
        <f>IF(A387="","",IF(Calculator!C12="Beginning of Period",MAX(0,(B387-IF(J387="IO",Calculator!C22,Calculator!C21))*Calculator!C17),B387*Calculator!C17))</f>
        <v/>
      </c>
      <c r="G387" s="23" t="str">
        <f t="shared" si="26"/>
        <v/>
      </c>
      <c r="H387" s="23" t="str">
        <f t="shared" si="27"/>
        <v/>
      </c>
      <c r="I387" s="23" t="str">
        <f t="shared" si="29"/>
        <v/>
      </c>
      <c r="J387" s="24" t="str">
        <f>IF(A387="","",IF(A387&lt;=Calculator!C19,"IO","P&amp;I"))</f>
        <v/>
      </c>
    </row>
    <row r="388" spans="1:10" ht="15.75" customHeight="1" x14ac:dyDescent="0.25">
      <c r="A388" s="19" t="str">
        <f>IF(377&lt;=Calculator!C18,377,"")</f>
        <v/>
      </c>
      <c r="B388" s="20" t="str">
        <f t="shared" si="28"/>
        <v/>
      </c>
      <c r="C388" s="20" t="str">
        <f>IF(A388="","",IF(J388="IO",Calculator!C22,IF(B388&gt;0,MIN(Calculator!C21,B388*(1+Calculator!C17)),0)))</f>
        <v/>
      </c>
      <c r="D388" s="20" t="str">
        <f>IF(A388="","",IF(AND(J388="P&amp;I",A388&gt;=Calculator!C9),MIN(Calculator!C8,MAX(0,B388-C388+F388)),0))</f>
        <v/>
      </c>
      <c r="E388" s="20" t="str">
        <f t="shared" si="25"/>
        <v/>
      </c>
      <c r="F388" s="20" t="str">
        <f>IF(A388="","",IF(Calculator!C12="Beginning of Period",MAX(0,(B388-IF(J388="IO",Calculator!C22,Calculator!C21))*Calculator!C17),B388*Calculator!C17))</f>
        <v/>
      </c>
      <c r="G388" s="20" t="str">
        <f t="shared" si="26"/>
        <v/>
      </c>
      <c r="H388" s="20" t="str">
        <f t="shared" si="27"/>
        <v/>
      </c>
      <c r="I388" s="20" t="str">
        <f t="shared" si="29"/>
        <v/>
      </c>
      <c r="J388" s="21" t="str">
        <f>IF(A388="","",IF(A388&lt;=Calculator!C19,"IO","P&amp;I"))</f>
        <v/>
      </c>
    </row>
    <row r="389" spans="1:10" ht="15.75" customHeight="1" x14ac:dyDescent="0.25">
      <c r="A389" s="22" t="str">
        <f>IF(378&lt;=Calculator!C18,378,"")</f>
        <v/>
      </c>
      <c r="B389" s="23" t="str">
        <f t="shared" si="28"/>
        <v/>
      </c>
      <c r="C389" s="23" t="str">
        <f>IF(A389="","",IF(J389="IO",Calculator!C22,IF(B389&gt;0,MIN(Calculator!C21,B389*(1+Calculator!C17)),0)))</f>
        <v/>
      </c>
      <c r="D389" s="23" t="str">
        <f>IF(A389="","",IF(AND(J389="P&amp;I",A389&gt;=Calculator!C9),MIN(Calculator!C8,MAX(0,B389-C389+F389)),0))</f>
        <v/>
      </c>
      <c r="E389" s="23" t="str">
        <f t="shared" si="25"/>
        <v/>
      </c>
      <c r="F389" s="23" t="str">
        <f>IF(A389="","",IF(Calculator!C12="Beginning of Period",MAX(0,(B389-IF(J389="IO",Calculator!C22,Calculator!C21))*Calculator!C17),B389*Calculator!C17))</f>
        <v/>
      </c>
      <c r="G389" s="23" t="str">
        <f t="shared" si="26"/>
        <v/>
      </c>
      <c r="H389" s="23" t="str">
        <f t="shared" si="27"/>
        <v/>
      </c>
      <c r="I389" s="23" t="str">
        <f t="shared" si="29"/>
        <v/>
      </c>
      <c r="J389" s="24" t="str">
        <f>IF(A389="","",IF(A389&lt;=Calculator!C19,"IO","P&amp;I"))</f>
        <v/>
      </c>
    </row>
    <row r="390" spans="1:10" ht="15.75" customHeight="1" x14ac:dyDescent="0.25">
      <c r="A390" s="19" t="str">
        <f>IF(379&lt;=Calculator!C18,379,"")</f>
        <v/>
      </c>
      <c r="B390" s="20" t="str">
        <f t="shared" si="28"/>
        <v/>
      </c>
      <c r="C390" s="20" t="str">
        <f>IF(A390="","",IF(J390="IO",Calculator!C22,IF(B390&gt;0,MIN(Calculator!C21,B390*(1+Calculator!C17)),0)))</f>
        <v/>
      </c>
      <c r="D390" s="20" t="str">
        <f>IF(A390="","",IF(AND(J390="P&amp;I",A390&gt;=Calculator!C9),MIN(Calculator!C8,MAX(0,B390-C390+F390)),0))</f>
        <v/>
      </c>
      <c r="E390" s="20" t="str">
        <f t="shared" si="25"/>
        <v/>
      </c>
      <c r="F390" s="20" t="str">
        <f>IF(A390="","",IF(Calculator!C12="Beginning of Period",MAX(0,(B390-IF(J390="IO",Calculator!C22,Calculator!C21))*Calculator!C17),B390*Calculator!C17))</f>
        <v/>
      </c>
      <c r="G390" s="20" t="str">
        <f t="shared" si="26"/>
        <v/>
      </c>
      <c r="H390" s="20" t="str">
        <f t="shared" si="27"/>
        <v/>
      </c>
      <c r="I390" s="20" t="str">
        <f t="shared" si="29"/>
        <v/>
      </c>
      <c r="J390" s="21" t="str">
        <f>IF(A390="","",IF(A390&lt;=Calculator!C19,"IO","P&amp;I"))</f>
        <v/>
      </c>
    </row>
    <row r="391" spans="1:10" ht="15.75" customHeight="1" x14ac:dyDescent="0.25">
      <c r="A391" s="22" t="str">
        <f>IF(380&lt;=Calculator!C18,380,"")</f>
        <v/>
      </c>
      <c r="B391" s="23" t="str">
        <f t="shared" si="28"/>
        <v/>
      </c>
      <c r="C391" s="23" t="str">
        <f>IF(A391="","",IF(J391="IO",Calculator!C22,IF(B391&gt;0,MIN(Calculator!C21,B391*(1+Calculator!C17)),0)))</f>
        <v/>
      </c>
      <c r="D391" s="23" t="str">
        <f>IF(A391="","",IF(AND(J391="P&amp;I",A391&gt;=Calculator!C9),MIN(Calculator!C8,MAX(0,B391-C391+F391)),0))</f>
        <v/>
      </c>
      <c r="E391" s="23" t="str">
        <f t="shared" si="25"/>
        <v/>
      </c>
      <c r="F391" s="23" t="str">
        <f>IF(A391="","",IF(Calculator!C12="Beginning of Period",MAX(0,(B391-IF(J391="IO",Calculator!C22,Calculator!C21))*Calculator!C17),B391*Calculator!C17))</f>
        <v/>
      </c>
      <c r="G391" s="23" t="str">
        <f t="shared" si="26"/>
        <v/>
      </c>
      <c r="H391" s="23" t="str">
        <f t="shared" si="27"/>
        <v/>
      </c>
      <c r="I391" s="23" t="str">
        <f t="shared" si="29"/>
        <v/>
      </c>
      <c r="J391" s="24" t="str">
        <f>IF(A391="","",IF(A391&lt;=Calculator!C19,"IO","P&amp;I"))</f>
        <v/>
      </c>
    </row>
    <row r="392" spans="1:10" ht="15.75" customHeight="1" x14ac:dyDescent="0.25">
      <c r="A392" s="19" t="str">
        <f>IF(381&lt;=Calculator!C18,381,"")</f>
        <v/>
      </c>
      <c r="B392" s="20" t="str">
        <f t="shared" si="28"/>
        <v/>
      </c>
      <c r="C392" s="20" t="str">
        <f>IF(A392="","",IF(J392="IO",Calculator!C22,IF(B392&gt;0,MIN(Calculator!C21,B392*(1+Calculator!C17)),0)))</f>
        <v/>
      </c>
      <c r="D392" s="20" t="str">
        <f>IF(A392="","",IF(AND(J392="P&amp;I",A392&gt;=Calculator!C9),MIN(Calculator!C8,MAX(0,B392-C392+F392)),0))</f>
        <v/>
      </c>
      <c r="E392" s="20" t="str">
        <f t="shared" si="25"/>
        <v/>
      </c>
      <c r="F392" s="20" t="str">
        <f>IF(A392="","",IF(Calculator!C12="Beginning of Period",MAX(0,(B392-IF(J392="IO",Calculator!C22,Calculator!C21))*Calculator!C17),B392*Calculator!C17))</f>
        <v/>
      </c>
      <c r="G392" s="20" t="str">
        <f t="shared" si="26"/>
        <v/>
      </c>
      <c r="H392" s="20" t="str">
        <f t="shared" si="27"/>
        <v/>
      </c>
      <c r="I392" s="20" t="str">
        <f t="shared" si="29"/>
        <v/>
      </c>
      <c r="J392" s="21" t="str">
        <f>IF(A392="","",IF(A392&lt;=Calculator!C19,"IO","P&amp;I"))</f>
        <v/>
      </c>
    </row>
    <row r="393" spans="1:10" ht="15.75" customHeight="1" x14ac:dyDescent="0.25">
      <c r="A393" s="22" t="str">
        <f>IF(382&lt;=Calculator!C18,382,"")</f>
        <v/>
      </c>
      <c r="B393" s="23" t="str">
        <f t="shared" si="28"/>
        <v/>
      </c>
      <c r="C393" s="23" t="str">
        <f>IF(A393="","",IF(J393="IO",Calculator!C22,IF(B393&gt;0,MIN(Calculator!C21,B393*(1+Calculator!C17)),0)))</f>
        <v/>
      </c>
      <c r="D393" s="23" t="str">
        <f>IF(A393="","",IF(AND(J393="P&amp;I",A393&gt;=Calculator!C9),MIN(Calculator!C8,MAX(0,B393-C393+F393)),0))</f>
        <v/>
      </c>
      <c r="E393" s="23" t="str">
        <f t="shared" si="25"/>
        <v/>
      </c>
      <c r="F393" s="23" t="str">
        <f>IF(A393="","",IF(Calculator!C12="Beginning of Period",MAX(0,(B393-IF(J393="IO",Calculator!C22,Calculator!C21))*Calculator!C17),B393*Calculator!C17))</f>
        <v/>
      </c>
      <c r="G393" s="23" t="str">
        <f t="shared" si="26"/>
        <v/>
      </c>
      <c r="H393" s="23" t="str">
        <f t="shared" si="27"/>
        <v/>
      </c>
      <c r="I393" s="23" t="str">
        <f t="shared" si="29"/>
        <v/>
      </c>
      <c r="J393" s="24" t="str">
        <f>IF(A393="","",IF(A393&lt;=Calculator!C19,"IO","P&amp;I"))</f>
        <v/>
      </c>
    </row>
    <row r="394" spans="1:10" ht="15.75" customHeight="1" x14ac:dyDescent="0.25">
      <c r="A394" s="19" t="str">
        <f>IF(383&lt;=Calculator!C18,383,"")</f>
        <v/>
      </c>
      <c r="B394" s="20" t="str">
        <f t="shared" si="28"/>
        <v/>
      </c>
      <c r="C394" s="20" t="str">
        <f>IF(A394="","",IF(J394="IO",Calculator!C22,IF(B394&gt;0,MIN(Calculator!C21,B394*(1+Calculator!C17)),0)))</f>
        <v/>
      </c>
      <c r="D394" s="20" t="str">
        <f>IF(A394="","",IF(AND(J394="P&amp;I",A394&gt;=Calculator!C9),MIN(Calculator!C8,MAX(0,B394-C394+F394)),0))</f>
        <v/>
      </c>
      <c r="E394" s="20" t="str">
        <f t="shared" si="25"/>
        <v/>
      </c>
      <c r="F394" s="20" t="str">
        <f>IF(A394="","",IF(Calculator!C12="Beginning of Period",MAX(0,(B394-IF(J394="IO",Calculator!C22,Calculator!C21))*Calculator!C17),B394*Calculator!C17))</f>
        <v/>
      </c>
      <c r="G394" s="20" t="str">
        <f t="shared" si="26"/>
        <v/>
      </c>
      <c r="H394" s="20" t="str">
        <f t="shared" si="27"/>
        <v/>
      </c>
      <c r="I394" s="20" t="str">
        <f t="shared" si="29"/>
        <v/>
      </c>
      <c r="J394" s="21" t="str">
        <f>IF(A394="","",IF(A394&lt;=Calculator!C19,"IO","P&amp;I"))</f>
        <v/>
      </c>
    </row>
    <row r="395" spans="1:10" ht="15.75" customHeight="1" x14ac:dyDescent="0.25">
      <c r="A395" s="22" t="str">
        <f>IF(384&lt;=Calculator!C18,384,"")</f>
        <v/>
      </c>
      <c r="B395" s="23" t="str">
        <f t="shared" si="28"/>
        <v/>
      </c>
      <c r="C395" s="23" t="str">
        <f>IF(A395="","",IF(J395="IO",Calculator!C22,IF(B395&gt;0,MIN(Calculator!C21,B395*(1+Calculator!C17)),0)))</f>
        <v/>
      </c>
      <c r="D395" s="23" t="str">
        <f>IF(A395="","",IF(AND(J395="P&amp;I",A395&gt;=Calculator!C9),MIN(Calculator!C8,MAX(0,B395-C395+F395)),0))</f>
        <v/>
      </c>
      <c r="E395" s="23" t="str">
        <f t="shared" si="25"/>
        <v/>
      </c>
      <c r="F395" s="23" t="str">
        <f>IF(A395="","",IF(Calculator!C12="Beginning of Period",MAX(0,(B395-IF(J395="IO",Calculator!C22,Calculator!C21))*Calculator!C17),B395*Calculator!C17))</f>
        <v/>
      </c>
      <c r="G395" s="23" t="str">
        <f t="shared" si="26"/>
        <v/>
      </c>
      <c r="H395" s="23" t="str">
        <f t="shared" si="27"/>
        <v/>
      </c>
      <c r="I395" s="23" t="str">
        <f t="shared" si="29"/>
        <v/>
      </c>
      <c r="J395" s="24" t="str">
        <f>IF(A395="","",IF(A395&lt;=Calculator!C19,"IO","P&amp;I"))</f>
        <v/>
      </c>
    </row>
    <row r="396" spans="1:10" ht="15.75" customHeight="1" x14ac:dyDescent="0.25">
      <c r="A396" s="19" t="str">
        <f>IF(385&lt;=Calculator!C18,385,"")</f>
        <v/>
      </c>
      <c r="B396" s="20" t="str">
        <f t="shared" si="28"/>
        <v/>
      </c>
      <c r="C396" s="20" t="str">
        <f>IF(A396="","",IF(J396="IO",Calculator!C22,IF(B396&gt;0,MIN(Calculator!C21,B396*(1+Calculator!C17)),0)))</f>
        <v/>
      </c>
      <c r="D396" s="20" t="str">
        <f>IF(A396="","",IF(AND(J396="P&amp;I",A396&gt;=Calculator!C9),MIN(Calculator!C8,MAX(0,B396-C396+F396)),0))</f>
        <v/>
      </c>
      <c r="E396" s="20" t="str">
        <f t="shared" ref="E396:E459" si="30">IF(A396="","",C396+D396)</f>
        <v/>
      </c>
      <c r="F396" s="20" t="str">
        <f>IF(A396="","",IF(Calculator!C12="Beginning of Period",MAX(0,(B396-IF(J396="IO",Calculator!C22,Calculator!C21))*Calculator!C17),B396*Calculator!C17))</f>
        <v/>
      </c>
      <c r="G396" s="20" t="str">
        <f t="shared" ref="G396:G459" si="31">IF(A396="","",IF(J396="IO",0,MAX(0,C396-F396)))</f>
        <v/>
      </c>
      <c r="H396" s="20" t="str">
        <f t="shared" ref="H396:H459" si="32">IF(A396="","",MAX(0,B396-G396-D396))</f>
        <v/>
      </c>
      <c r="I396" s="20" t="str">
        <f t="shared" si="29"/>
        <v/>
      </c>
      <c r="J396" s="21" t="str">
        <f>IF(A396="","",IF(A396&lt;=Calculator!C19,"IO","P&amp;I"))</f>
        <v/>
      </c>
    </row>
    <row r="397" spans="1:10" ht="15.75" customHeight="1" x14ac:dyDescent="0.25">
      <c r="A397" s="22" t="str">
        <f>IF(386&lt;=Calculator!C18,386,"")</f>
        <v/>
      </c>
      <c r="B397" s="23" t="str">
        <f t="shared" ref="B397:B460" si="33">IF(A397="","",H396)</f>
        <v/>
      </c>
      <c r="C397" s="23" t="str">
        <f>IF(A397="","",IF(J397="IO",Calculator!C22,IF(B397&gt;0,MIN(Calculator!C21,B397*(1+Calculator!C17)),0)))</f>
        <v/>
      </c>
      <c r="D397" s="23" t="str">
        <f>IF(A397="","",IF(AND(J397="P&amp;I",A397&gt;=Calculator!C9),MIN(Calculator!C8,MAX(0,B397-C397+F397)),0))</f>
        <v/>
      </c>
      <c r="E397" s="23" t="str">
        <f t="shared" si="30"/>
        <v/>
      </c>
      <c r="F397" s="23" t="str">
        <f>IF(A397="","",IF(Calculator!C12="Beginning of Period",MAX(0,(B397-IF(J397="IO",Calculator!C22,Calculator!C21))*Calculator!C17),B397*Calculator!C17))</f>
        <v/>
      </c>
      <c r="G397" s="23" t="str">
        <f t="shared" si="31"/>
        <v/>
      </c>
      <c r="H397" s="23" t="str">
        <f t="shared" si="32"/>
        <v/>
      </c>
      <c r="I397" s="23" t="str">
        <f t="shared" ref="I397:I460" si="34">IF(A397="","",I396+F397)</f>
        <v/>
      </c>
      <c r="J397" s="24" t="str">
        <f>IF(A397="","",IF(A397&lt;=Calculator!C19,"IO","P&amp;I"))</f>
        <v/>
      </c>
    </row>
    <row r="398" spans="1:10" ht="15.75" customHeight="1" x14ac:dyDescent="0.25">
      <c r="A398" s="19" t="str">
        <f>IF(387&lt;=Calculator!C18,387,"")</f>
        <v/>
      </c>
      <c r="B398" s="20" t="str">
        <f t="shared" si="33"/>
        <v/>
      </c>
      <c r="C398" s="20" t="str">
        <f>IF(A398="","",IF(J398="IO",Calculator!C22,IF(B398&gt;0,MIN(Calculator!C21,B398*(1+Calculator!C17)),0)))</f>
        <v/>
      </c>
      <c r="D398" s="20" t="str">
        <f>IF(A398="","",IF(AND(J398="P&amp;I",A398&gt;=Calculator!C9),MIN(Calculator!C8,MAX(0,B398-C398+F398)),0))</f>
        <v/>
      </c>
      <c r="E398" s="20" t="str">
        <f t="shared" si="30"/>
        <v/>
      </c>
      <c r="F398" s="20" t="str">
        <f>IF(A398="","",IF(Calculator!C12="Beginning of Period",MAX(0,(B398-IF(J398="IO",Calculator!C22,Calculator!C21))*Calculator!C17),B398*Calculator!C17))</f>
        <v/>
      </c>
      <c r="G398" s="20" t="str">
        <f t="shared" si="31"/>
        <v/>
      </c>
      <c r="H398" s="20" t="str">
        <f t="shared" si="32"/>
        <v/>
      </c>
      <c r="I398" s="20" t="str">
        <f t="shared" si="34"/>
        <v/>
      </c>
      <c r="J398" s="21" t="str">
        <f>IF(A398="","",IF(A398&lt;=Calculator!C19,"IO","P&amp;I"))</f>
        <v/>
      </c>
    </row>
    <row r="399" spans="1:10" ht="15.75" customHeight="1" x14ac:dyDescent="0.25">
      <c r="A399" s="22" t="str">
        <f>IF(388&lt;=Calculator!C18,388,"")</f>
        <v/>
      </c>
      <c r="B399" s="23" t="str">
        <f t="shared" si="33"/>
        <v/>
      </c>
      <c r="C399" s="23" t="str">
        <f>IF(A399="","",IF(J399="IO",Calculator!C22,IF(B399&gt;0,MIN(Calculator!C21,B399*(1+Calculator!C17)),0)))</f>
        <v/>
      </c>
      <c r="D399" s="23" t="str">
        <f>IF(A399="","",IF(AND(J399="P&amp;I",A399&gt;=Calculator!C9),MIN(Calculator!C8,MAX(0,B399-C399+F399)),0))</f>
        <v/>
      </c>
      <c r="E399" s="23" t="str">
        <f t="shared" si="30"/>
        <v/>
      </c>
      <c r="F399" s="23" t="str">
        <f>IF(A399="","",IF(Calculator!C12="Beginning of Period",MAX(0,(B399-IF(J399="IO",Calculator!C22,Calculator!C21))*Calculator!C17),B399*Calculator!C17))</f>
        <v/>
      </c>
      <c r="G399" s="23" t="str">
        <f t="shared" si="31"/>
        <v/>
      </c>
      <c r="H399" s="23" t="str">
        <f t="shared" si="32"/>
        <v/>
      </c>
      <c r="I399" s="23" t="str">
        <f t="shared" si="34"/>
        <v/>
      </c>
      <c r="J399" s="24" t="str">
        <f>IF(A399="","",IF(A399&lt;=Calculator!C19,"IO","P&amp;I"))</f>
        <v/>
      </c>
    </row>
    <row r="400" spans="1:10" ht="15.75" customHeight="1" x14ac:dyDescent="0.25">
      <c r="A400" s="19" t="str">
        <f>IF(389&lt;=Calculator!C18,389,"")</f>
        <v/>
      </c>
      <c r="B400" s="20" t="str">
        <f t="shared" si="33"/>
        <v/>
      </c>
      <c r="C400" s="20" t="str">
        <f>IF(A400="","",IF(J400="IO",Calculator!C22,IF(B400&gt;0,MIN(Calculator!C21,B400*(1+Calculator!C17)),0)))</f>
        <v/>
      </c>
      <c r="D400" s="20" t="str">
        <f>IF(A400="","",IF(AND(J400="P&amp;I",A400&gt;=Calculator!C9),MIN(Calculator!C8,MAX(0,B400-C400+F400)),0))</f>
        <v/>
      </c>
      <c r="E400" s="20" t="str">
        <f t="shared" si="30"/>
        <v/>
      </c>
      <c r="F400" s="20" t="str">
        <f>IF(A400="","",IF(Calculator!C12="Beginning of Period",MAX(0,(B400-IF(J400="IO",Calculator!C22,Calculator!C21))*Calculator!C17),B400*Calculator!C17))</f>
        <v/>
      </c>
      <c r="G400" s="20" t="str">
        <f t="shared" si="31"/>
        <v/>
      </c>
      <c r="H400" s="20" t="str">
        <f t="shared" si="32"/>
        <v/>
      </c>
      <c r="I400" s="20" t="str">
        <f t="shared" si="34"/>
        <v/>
      </c>
      <c r="J400" s="21" t="str">
        <f>IF(A400="","",IF(A400&lt;=Calculator!C19,"IO","P&amp;I"))</f>
        <v/>
      </c>
    </row>
    <row r="401" spans="1:10" ht="15.75" customHeight="1" x14ac:dyDescent="0.25">
      <c r="A401" s="22" t="str">
        <f>IF(390&lt;=Calculator!C18,390,"")</f>
        <v/>
      </c>
      <c r="B401" s="23" t="str">
        <f t="shared" si="33"/>
        <v/>
      </c>
      <c r="C401" s="23" t="str">
        <f>IF(A401="","",IF(J401="IO",Calculator!C22,IF(B401&gt;0,MIN(Calculator!C21,B401*(1+Calculator!C17)),0)))</f>
        <v/>
      </c>
      <c r="D401" s="23" t="str">
        <f>IF(A401="","",IF(AND(J401="P&amp;I",A401&gt;=Calculator!C9),MIN(Calculator!C8,MAX(0,B401-C401+F401)),0))</f>
        <v/>
      </c>
      <c r="E401" s="23" t="str">
        <f t="shared" si="30"/>
        <v/>
      </c>
      <c r="F401" s="23" t="str">
        <f>IF(A401="","",IF(Calculator!C12="Beginning of Period",MAX(0,(B401-IF(J401="IO",Calculator!C22,Calculator!C21))*Calculator!C17),B401*Calculator!C17))</f>
        <v/>
      </c>
      <c r="G401" s="23" t="str">
        <f t="shared" si="31"/>
        <v/>
      </c>
      <c r="H401" s="23" t="str">
        <f t="shared" si="32"/>
        <v/>
      </c>
      <c r="I401" s="23" t="str">
        <f t="shared" si="34"/>
        <v/>
      </c>
      <c r="J401" s="24" t="str">
        <f>IF(A401="","",IF(A401&lt;=Calculator!C19,"IO","P&amp;I"))</f>
        <v/>
      </c>
    </row>
    <row r="402" spans="1:10" ht="15.75" customHeight="1" x14ac:dyDescent="0.25">
      <c r="A402" s="19" t="str">
        <f>IF(391&lt;=Calculator!C18,391,"")</f>
        <v/>
      </c>
      <c r="B402" s="20" t="str">
        <f t="shared" si="33"/>
        <v/>
      </c>
      <c r="C402" s="20" t="str">
        <f>IF(A402="","",IF(J402="IO",Calculator!C22,IF(B402&gt;0,MIN(Calculator!C21,B402*(1+Calculator!C17)),0)))</f>
        <v/>
      </c>
      <c r="D402" s="20" t="str">
        <f>IF(A402="","",IF(AND(J402="P&amp;I",A402&gt;=Calculator!C9),MIN(Calculator!C8,MAX(0,B402-C402+F402)),0))</f>
        <v/>
      </c>
      <c r="E402" s="20" t="str">
        <f t="shared" si="30"/>
        <v/>
      </c>
      <c r="F402" s="20" t="str">
        <f>IF(A402="","",IF(Calculator!C12="Beginning of Period",MAX(0,(B402-IF(J402="IO",Calculator!C22,Calculator!C21))*Calculator!C17),B402*Calculator!C17))</f>
        <v/>
      </c>
      <c r="G402" s="20" t="str">
        <f t="shared" si="31"/>
        <v/>
      </c>
      <c r="H402" s="20" t="str">
        <f t="shared" si="32"/>
        <v/>
      </c>
      <c r="I402" s="20" t="str">
        <f t="shared" si="34"/>
        <v/>
      </c>
      <c r="J402" s="21" t="str">
        <f>IF(A402="","",IF(A402&lt;=Calculator!C19,"IO","P&amp;I"))</f>
        <v/>
      </c>
    </row>
    <row r="403" spans="1:10" ht="15.75" customHeight="1" x14ac:dyDescent="0.25">
      <c r="A403" s="22" t="str">
        <f>IF(392&lt;=Calculator!C18,392,"")</f>
        <v/>
      </c>
      <c r="B403" s="23" t="str">
        <f t="shared" si="33"/>
        <v/>
      </c>
      <c r="C403" s="23" t="str">
        <f>IF(A403="","",IF(J403="IO",Calculator!C22,IF(B403&gt;0,MIN(Calculator!C21,B403*(1+Calculator!C17)),0)))</f>
        <v/>
      </c>
      <c r="D403" s="23" t="str">
        <f>IF(A403="","",IF(AND(J403="P&amp;I",A403&gt;=Calculator!C9),MIN(Calculator!C8,MAX(0,B403-C403+F403)),0))</f>
        <v/>
      </c>
      <c r="E403" s="23" t="str">
        <f t="shared" si="30"/>
        <v/>
      </c>
      <c r="F403" s="23" t="str">
        <f>IF(A403="","",IF(Calculator!C12="Beginning of Period",MAX(0,(B403-IF(J403="IO",Calculator!C22,Calculator!C21))*Calculator!C17),B403*Calculator!C17))</f>
        <v/>
      </c>
      <c r="G403" s="23" t="str">
        <f t="shared" si="31"/>
        <v/>
      </c>
      <c r="H403" s="23" t="str">
        <f t="shared" si="32"/>
        <v/>
      </c>
      <c r="I403" s="23" t="str">
        <f t="shared" si="34"/>
        <v/>
      </c>
      <c r="J403" s="24" t="str">
        <f>IF(A403="","",IF(A403&lt;=Calculator!C19,"IO","P&amp;I"))</f>
        <v/>
      </c>
    </row>
    <row r="404" spans="1:10" ht="15.75" customHeight="1" x14ac:dyDescent="0.25">
      <c r="A404" s="19" t="str">
        <f>IF(393&lt;=Calculator!C18,393,"")</f>
        <v/>
      </c>
      <c r="B404" s="20" t="str">
        <f t="shared" si="33"/>
        <v/>
      </c>
      <c r="C404" s="20" t="str">
        <f>IF(A404="","",IF(J404="IO",Calculator!C22,IF(B404&gt;0,MIN(Calculator!C21,B404*(1+Calculator!C17)),0)))</f>
        <v/>
      </c>
      <c r="D404" s="20" t="str">
        <f>IF(A404="","",IF(AND(J404="P&amp;I",A404&gt;=Calculator!C9),MIN(Calculator!C8,MAX(0,B404-C404+F404)),0))</f>
        <v/>
      </c>
      <c r="E404" s="20" t="str">
        <f t="shared" si="30"/>
        <v/>
      </c>
      <c r="F404" s="20" t="str">
        <f>IF(A404="","",IF(Calculator!C12="Beginning of Period",MAX(0,(B404-IF(J404="IO",Calculator!C22,Calculator!C21))*Calculator!C17),B404*Calculator!C17))</f>
        <v/>
      </c>
      <c r="G404" s="20" t="str">
        <f t="shared" si="31"/>
        <v/>
      </c>
      <c r="H404" s="20" t="str">
        <f t="shared" si="32"/>
        <v/>
      </c>
      <c r="I404" s="20" t="str">
        <f t="shared" si="34"/>
        <v/>
      </c>
      <c r="J404" s="21" t="str">
        <f>IF(A404="","",IF(A404&lt;=Calculator!C19,"IO","P&amp;I"))</f>
        <v/>
      </c>
    </row>
    <row r="405" spans="1:10" ht="15.75" customHeight="1" x14ac:dyDescent="0.25">
      <c r="A405" s="22" t="str">
        <f>IF(394&lt;=Calculator!C18,394,"")</f>
        <v/>
      </c>
      <c r="B405" s="23" t="str">
        <f t="shared" si="33"/>
        <v/>
      </c>
      <c r="C405" s="23" t="str">
        <f>IF(A405="","",IF(J405="IO",Calculator!C22,IF(B405&gt;0,MIN(Calculator!C21,B405*(1+Calculator!C17)),0)))</f>
        <v/>
      </c>
      <c r="D405" s="23" t="str">
        <f>IF(A405="","",IF(AND(J405="P&amp;I",A405&gt;=Calculator!C9),MIN(Calculator!C8,MAX(0,B405-C405+F405)),0))</f>
        <v/>
      </c>
      <c r="E405" s="23" t="str">
        <f t="shared" si="30"/>
        <v/>
      </c>
      <c r="F405" s="23" t="str">
        <f>IF(A405="","",IF(Calculator!C12="Beginning of Period",MAX(0,(B405-IF(J405="IO",Calculator!C22,Calculator!C21))*Calculator!C17),B405*Calculator!C17))</f>
        <v/>
      </c>
      <c r="G405" s="23" t="str">
        <f t="shared" si="31"/>
        <v/>
      </c>
      <c r="H405" s="23" t="str">
        <f t="shared" si="32"/>
        <v/>
      </c>
      <c r="I405" s="23" t="str">
        <f t="shared" si="34"/>
        <v/>
      </c>
      <c r="J405" s="24" t="str">
        <f>IF(A405="","",IF(A405&lt;=Calculator!C19,"IO","P&amp;I"))</f>
        <v/>
      </c>
    </row>
    <row r="406" spans="1:10" ht="15.75" customHeight="1" x14ac:dyDescent="0.25">
      <c r="A406" s="19" t="str">
        <f>IF(395&lt;=Calculator!C18,395,"")</f>
        <v/>
      </c>
      <c r="B406" s="20" t="str">
        <f t="shared" si="33"/>
        <v/>
      </c>
      <c r="C406" s="20" t="str">
        <f>IF(A406="","",IF(J406="IO",Calculator!C22,IF(B406&gt;0,MIN(Calculator!C21,B406*(1+Calculator!C17)),0)))</f>
        <v/>
      </c>
      <c r="D406" s="20" t="str">
        <f>IF(A406="","",IF(AND(J406="P&amp;I",A406&gt;=Calculator!C9),MIN(Calculator!C8,MAX(0,B406-C406+F406)),0))</f>
        <v/>
      </c>
      <c r="E406" s="20" t="str">
        <f t="shared" si="30"/>
        <v/>
      </c>
      <c r="F406" s="20" t="str">
        <f>IF(A406="","",IF(Calculator!C12="Beginning of Period",MAX(0,(B406-IF(J406="IO",Calculator!C22,Calculator!C21))*Calculator!C17),B406*Calculator!C17))</f>
        <v/>
      </c>
      <c r="G406" s="20" t="str">
        <f t="shared" si="31"/>
        <v/>
      </c>
      <c r="H406" s="20" t="str">
        <f t="shared" si="32"/>
        <v/>
      </c>
      <c r="I406" s="20" t="str">
        <f t="shared" si="34"/>
        <v/>
      </c>
      <c r="J406" s="21" t="str">
        <f>IF(A406="","",IF(A406&lt;=Calculator!C19,"IO","P&amp;I"))</f>
        <v/>
      </c>
    </row>
    <row r="407" spans="1:10" ht="15.75" customHeight="1" x14ac:dyDescent="0.25">
      <c r="A407" s="22" t="str">
        <f>IF(396&lt;=Calculator!C18,396,"")</f>
        <v/>
      </c>
      <c r="B407" s="23" t="str">
        <f t="shared" si="33"/>
        <v/>
      </c>
      <c r="C407" s="23" t="str">
        <f>IF(A407="","",IF(J407="IO",Calculator!C22,IF(B407&gt;0,MIN(Calculator!C21,B407*(1+Calculator!C17)),0)))</f>
        <v/>
      </c>
      <c r="D407" s="23" t="str">
        <f>IF(A407="","",IF(AND(J407="P&amp;I",A407&gt;=Calculator!C9),MIN(Calculator!C8,MAX(0,B407-C407+F407)),0))</f>
        <v/>
      </c>
      <c r="E407" s="23" t="str">
        <f t="shared" si="30"/>
        <v/>
      </c>
      <c r="F407" s="23" t="str">
        <f>IF(A407="","",IF(Calculator!C12="Beginning of Period",MAX(0,(B407-IF(J407="IO",Calculator!C22,Calculator!C21))*Calculator!C17),B407*Calculator!C17))</f>
        <v/>
      </c>
      <c r="G407" s="23" t="str">
        <f t="shared" si="31"/>
        <v/>
      </c>
      <c r="H407" s="23" t="str">
        <f t="shared" si="32"/>
        <v/>
      </c>
      <c r="I407" s="23" t="str">
        <f t="shared" si="34"/>
        <v/>
      </c>
      <c r="J407" s="24" t="str">
        <f>IF(A407="","",IF(A407&lt;=Calculator!C19,"IO","P&amp;I"))</f>
        <v/>
      </c>
    </row>
    <row r="408" spans="1:10" ht="15.75" customHeight="1" x14ac:dyDescent="0.25">
      <c r="A408" s="19" t="str">
        <f>IF(397&lt;=Calculator!C18,397,"")</f>
        <v/>
      </c>
      <c r="B408" s="20" t="str">
        <f t="shared" si="33"/>
        <v/>
      </c>
      <c r="C408" s="20" t="str">
        <f>IF(A408="","",IF(J408="IO",Calculator!C22,IF(B408&gt;0,MIN(Calculator!C21,B408*(1+Calculator!C17)),0)))</f>
        <v/>
      </c>
      <c r="D408" s="20" t="str">
        <f>IF(A408="","",IF(AND(J408="P&amp;I",A408&gt;=Calculator!C9),MIN(Calculator!C8,MAX(0,B408-C408+F408)),0))</f>
        <v/>
      </c>
      <c r="E408" s="20" t="str">
        <f t="shared" si="30"/>
        <v/>
      </c>
      <c r="F408" s="20" t="str">
        <f>IF(A408="","",IF(Calculator!C12="Beginning of Period",MAX(0,(B408-IF(J408="IO",Calculator!C22,Calculator!C21))*Calculator!C17),B408*Calculator!C17))</f>
        <v/>
      </c>
      <c r="G408" s="20" t="str">
        <f t="shared" si="31"/>
        <v/>
      </c>
      <c r="H408" s="20" t="str">
        <f t="shared" si="32"/>
        <v/>
      </c>
      <c r="I408" s="20" t="str">
        <f t="shared" si="34"/>
        <v/>
      </c>
      <c r="J408" s="21" t="str">
        <f>IF(A408="","",IF(A408&lt;=Calculator!C19,"IO","P&amp;I"))</f>
        <v/>
      </c>
    </row>
    <row r="409" spans="1:10" ht="15.75" customHeight="1" x14ac:dyDescent="0.25">
      <c r="A409" s="22" t="str">
        <f>IF(398&lt;=Calculator!C18,398,"")</f>
        <v/>
      </c>
      <c r="B409" s="23" t="str">
        <f t="shared" si="33"/>
        <v/>
      </c>
      <c r="C409" s="23" t="str">
        <f>IF(A409="","",IF(J409="IO",Calculator!C22,IF(B409&gt;0,MIN(Calculator!C21,B409*(1+Calculator!C17)),0)))</f>
        <v/>
      </c>
      <c r="D409" s="23" t="str">
        <f>IF(A409="","",IF(AND(J409="P&amp;I",A409&gt;=Calculator!C9),MIN(Calculator!C8,MAX(0,B409-C409+F409)),0))</f>
        <v/>
      </c>
      <c r="E409" s="23" t="str">
        <f t="shared" si="30"/>
        <v/>
      </c>
      <c r="F409" s="23" t="str">
        <f>IF(A409="","",IF(Calculator!C12="Beginning of Period",MAX(0,(B409-IF(J409="IO",Calculator!C22,Calculator!C21))*Calculator!C17),B409*Calculator!C17))</f>
        <v/>
      </c>
      <c r="G409" s="23" t="str">
        <f t="shared" si="31"/>
        <v/>
      </c>
      <c r="H409" s="23" t="str">
        <f t="shared" si="32"/>
        <v/>
      </c>
      <c r="I409" s="23" t="str">
        <f t="shared" si="34"/>
        <v/>
      </c>
      <c r="J409" s="24" t="str">
        <f>IF(A409="","",IF(A409&lt;=Calculator!C19,"IO","P&amp;I"))</f>
        <v/>
      </c>
    </row>
    <row r="410" spans="1:10" ht="15.75" customHeight="1" x14ac:dyDescent="0.25">
      <c r="A410" s="19" t="str">
        <f>IF(399&lt;=Calculator!C18,399,"")</f>
        <v/>
      </c>
      <c r="B410" s="20" t="str">
        <f t="shared" si="33"/>
        <v/>
      </c>
      <c r="C410" s="20" t="str">
        <f>IF(A410="","",IF(J410="IO",Calculator!C22,IF(B410&gt;0,MIN(Calculator!C21,B410*(1+Calculator!C17)),0)))</f>
        <v/>
      </c>
      <c r="D410" s="20" t="str">
        <f>IF(A410="","",IF(AND(J410="P&amp;I",A410&gt;=Calculator!C9),MIN(Calculator!C8,MAX(0,B410-C410+F410)),0))</f>
        <v/>
      </c>
      <c r="E410" s="20" t="str">
        <f t="shared" si="30"/>
        <v/>
      </c>
      <c r="F410" s="20" t="str">
        <f>IF(A410="","",IF(Calculator!C12="Beginning of Period",MAX(0,(B410-IF(J410="IO",Calculator!C22,Calculator!C21))*Calculator!C17),B410*Calculator!C17))</f>
        <v/>
      </c>
      <c r="G410" s="20" t="str">
        <f t="shared" si="31"/>
        <v/>
      </c>
      <c r="H410" s="20" t="str">
        <f t="shared" si="32"/>
        <v/>
      </c>
      <c r="I410" s="20" t="str">
        <f t="shared" si="34"/>
        <v/>
      </c>
      <c r="J410" s="21" t="str">
        <f>IF(A410="","",IF(A410&lt;=Calculator!C19,"IO","P&amp;I"))</f>
        <v/>
      </c>
    </row>
    <row r="411" spans="1:10" ht="15.75" customHeight="1" x14ac:dyDescent="0.25">
      <c r="A411" s="22" t="str">
        <f>IF(400&lt;=Calculator!C18,400,"")</f>
        <v/>
      </c>
      <c r="B411" s="23" t="str">
        <f t="shared" si="33"/>
        <v/>
      </c>
      <c r="C411" s="23" t="str">
        <f>IF(A411="","",IF(J411="IO",Calculator!C22,IF(B411&gt;0,MIN(Calculator!C21,B411*(1+Calculator!C17)),0)))</f>
        <v/>
      </c>
      <c r="D411" s="23" t="str">
        <f>IF(A411="","",IF(AND(J411="P&amp;I",A411&gt;=Calculator!C9),MIN(Calculator!C8,MAX(0,B411-C411+F411)),0))</f>
        <v/>
      </c>
      <c r="E411" s="23" t="str">
        <f t="shared" si="30"/>
        <v/>
      </c>
      <c r="F411" s="23" t="str">
        <f>IF(A411="","",IF(Calculator!C12="Beginning of Period",MAX(0,(B411-IF(J411="IO",Calculator!C22,Calculator!C21))*Calculator!C17),B411*Calculator!C17))</f>
        <v/>
      </c>
      <c r="G411" s="23" t="str">
        <f t="shared" si="31"/>
        <v/>
      </c>
      <c r="H411" s="23" t="str">
        <f t="shared" si="32"/>
        <v/>
      </c>
      <c r="I411" s="23" t="str">
        <f t="shared" si="34"/>
        <v/>
      </c>
      <c r="J411" s="24" t="str">
        <f>IF(A411="","",IF(A411&lt;=Calculator!C19,"IO","P&amp;I"))</f>
        <v/>
      </c>
    </row>
    <row r="412" spans="1:10" ht="15.75" customHeight="1" x14ac:dyDescent="0.25">
      <c r="A412" s="19" t="str">
        <f>IF(401&lt;=Calculator!C18,401,"")</f>
        <v/>
      </c>
      <c r="B412" s="20" t="str">
        <f t="shared" si="33"/>
        <v/>
      </c>
      <c r="C412" s="20" t="str">
        <f>IF(A412="","",IF(J412="IO",Calculator!C22,IF(B412&gt;0,MIN(Calculator!C21,B412*(1+Calculator!C17)),0)))</f>
        <v/>
      </c>
      <c r="D412" s="20" t="str">
        <f>IF(A412="","",IF(AND(J412="P&amp;I",A412&gt;=Calculator!C9),MIN(Calculator!C8,MAX(0,B412-C412+F412)),0))</f>
        <v/>
      </c>
      <c r="E412" s="20" t="str">
        <f t="shared" si="30"/>
        <v/>
      </c>
      <c r="F412" s="20" t="str">
        <f>IF(A412="","",IF(Calculator!C12="Beginning of Period",MAX(0,(B412-IF(J412="IO",Calculator!C22,Calculator!C21))*Calculator!C17),B412*Calculator!C17))</f>
        <v/>
      </c>
      <c r="G412" s="20" t="str">
        <f t="shared" si="31"/>
        <v/>
      </c>
      <c r="H412" s="20" t="str">
        <f t="shared" si="32"/>
        <v/>
      </c>
      <c r="I412" s="20" t="str">
        <f t="shared" si="34"/>
        <v/>
      </c>
      <c r="J412" s="21" t="str">
        <f>IF(A412="","",IF(A412&lt;=Calculator!C19,"IO","P&amp;I"))</f>
        <v/>
      </c>
    </row>
    <row r="413" spans="1:10" ht="15.75" customHeight="1" x14ac:dyDescent="0.25">
      <c r="A413" s="22" t="str">
        <f>IF(402&lt;=Calculator!C18,402,"")</f>
        <v/>
      </c>
      <c r="B413" s="23" t="str">
        <f t="shared" si="33"/>
        <v/>
      </c>
      <c r="C413" s="23" t="str">
        <f>IF(A413="","",IF(J413="IO",Calculator!C22,IF(B413&gt;0,MIN(Calculator!C21,B413*(1+Calculator!C17)),0)))</f>
        <v/>
      </c>
      <c r="D413" s="23" t="str">
        <f>IF(A413="","",IF(AND(J413="P&amp;I",A413&gt;=Calculator!C9),MIN(Calculator!C8,MAX(0,B413-C413+F413)),0))</f>
        <v/>
      </c>
      <c r="E413" s="23" t="str">
        <f t="shared" si="30"/>
        <v/>
      </c>
      <c r="F413" s="23" t="str">
        <f>IF(A413="","",IF(Calculator!C12="Beginning of Period",MAX(0,(B413-IF(J413="IO",Calculator!C22,Calculator!C21))*Calculator!C17),B413*Calculator!C17))</f>
        <v/>
      </c>
      <c r="G413" s="23" t="str">
        <f t="shared" si="31"/>
        <v/>
      </c>
      <c r="H413" s="23" t="str">
        <f t="shared" si="32"/>
        <v/>
      </c>
      <c r="I413" s="23" t="str">
        <f t="shared" si="34"/>
        <v/>
      </c>
      <c r="J413" s="24" t="str">
        <f>IF(A413="","",IF(A413&lt;=Calculator!C19,"IO","P&amp;I"))</f>
        <v/>
      </c>
    </row>
    <row r="414" spans="1:10" ht="15.75" customHeight="1" x14ac:dyDescent="0.25">
      <c r="A414" s="19" t="str">
        <f>IF(403&lt;=Calculator!C18,403,"")</f>
        <v/>
      </c>
      <c r="B414" s="20" t="str">
        <f t="shared" si="33"/>
        <v/>
      </c>
      <c r="C414" s="20" t="str">
        <f>IF(A414="","",IF(J414="IO",Calculator!C22,IF(B414&gt;0,MIN(Calculator!C21,B414*(1+Calculator!C17)),0)))</f>
        <v/>
      </c>
      <c r="D414" s="20" t="str">
        <f>IF(A414="","",IF(AND(J414="P&amp;I",A414&gt;=Calculator!C9),MIN(Calculator!C8,MAX(0,B414-C414+F414)),0))</f>
        <v/>
      </c>
      <c r="E414" s="20" t="str">
        <f t="shared" si="30"/>
        <v/>
      </c>
      <c r="F414" s="20" t="str">
        <f>IF(A414="","",IF(Calculator!C12="Beginning of Period",MAX(0,(B414-IF(J414="IO",Calculator!C22,Calculator!C21))*Calculator!C17),B414*Calculator!C17))</f>
        <v/>
      </c>
      <c r="G414" s="20" t="str">
        <f t="shared" si="31"/>
        <v/>
      </c>
      <c r="H414" s="20" t="str">
        <f t="shared" si="32"/>
        <v/>
      </c>
      <c r="I414" s="20" t="str">
        <f t="shared" si="34"/>
        <v/>
      </c>
      <c r="J414" s="21" t="str">
        <f>IF(A414="","",IF(A414&lt;=Calculator!C19,"IO","P&amp;I"))</f>
        <v/>
      </c>
    </row>
    <row r="415" spans="1:10" ht="15.75" customHeight="1" x14ac:dyDescent="0.25">
      <c r="A415" s="22" t="str">
        <f>IF(404&lt;=Calculator!C18,404,"")</f>
        <v/>
      </c>
      <c r="B415" s="23" t="str">
        <f t="shared" si="33"/>
        <v/>
      </c>
      <c r="C415" s="23" t="str">
        <f>IF(A415="","",IF(J415="IO",Calculator!C22,IF(B415&gt;0,MIN(Calculator!C21,B415*(1+Calculator!C17)),0)))</f>
        <v/>
      </c>
      <c r="D415" s="23" t="str">
        <f>IF(A415="","",IF(AND(J415="P&amp;I",A415&gt;=Calculator!C9),MIN(Calculator!C8,MAX(0,B415-C415+F415)),0))</f>
        <v/>
      </c>
      <c r="E415" s="23" t="str">
        <f t="shared" si="30"/>
        <v/>
      </c>
      <c r="F415" s="23" t="str">
        <f>IF(A415="","",IF(Calculator!C12="Beginning of Period",MAX(0,(B415-IF(J415="IO",Calculator!C22,Calculator!C21))*Calculator!C17),B415*Calculator!C17))</f>
        <v/>
      </c>
      <c r="G415" s="23" t="str">
        <f t="shared" si="31"/>
        <v/>
      </c>
      <c r="H415" s="23" t="str">
        <f t="shared" si="32"/>
        <v/>
      </c>
      <c r="I415" s="23" t="str">
        <f t="shared" si="34"/>
        <v/>
      </c>
      <c r="J415" s="24" t="str">
        <f>IF(A415="","",IF(A415&lt;=Calculator!C19,"IO","P&amp;I"))</f>
        <v/>
      </c>
    </row>
    <row r="416" spans="1:10" ht="15.75" customHeight="1" x14ac:dyDescent="0.25">
      <c r="A416" s="19" t="str">
        <f>IF(405&lt;=Calculator!C18,405,"")</f>
        <v/>
      </c>
      <c r="B416" s="20" t="str">
        <f t="shared" si="33"/>
        <v/>
      </c>
      <c r="C416" s="20" t="str">
        <f>IF(A416="","",IF(J416="IO",Calculator!C22,IF(B416&gt;0,MIN(Calculator!C21,B416*(1+Calculator!C17)),0)))</f>
        <v/>
      </c>
      <c r="D416" s="20" t="str">
        <f>IF(A416="","",IF(AND(J416="P&amp;I",A416&gt;=Calculator!C9),MIN(Calculator!C8,MAX(0,B416-C416+F416)),0))</f>
        <v/>
      </c>
      <c r="E416" s="20" t="str">
        <f t="shared" si="30"/>
        <v/>
      </c>
      <c r="F416" s="20" t="str">
        <f>IF(A416="","",IF(Calculator!C12="Beginning of Period",MAX(0,(B416-IF(J416="IO",Calculator!C22,Calculator!C21))*Calculator!C17),B416*Calculator!C17))</f>
        <v/>
      </c>
      <c r="G416" s="20" t="str">
        <f t="shared" si="31"/>
        <v/>
      </c>
      <c r="H416" s="20" t="str">
        <f t="shared" si="32"/>
        <v/>
      </c>
      <c r="I416" s="20" t="str">
        <f t="shared" si="34"/>
        <v/>
      </c>
      <c r="J416" s="21" t="str">
        <f>IF(A416="","",IF(A416&lt;=Calculator!C19,"IO","P&amp;I"))</f>
        <v/>
      </c>
    </row>
    <row r="417" spans="1:10" ht="15.75" customHeight="1" x14ac:dyDescent="0.25">
      <c r="A417" s="22" t="str">
        <f>IF(406&lt;=Calculator!C18,406,"")</f>
        <v/>
      </c>
      <c r="B417" s="23" t="str">
        <f t="shared" si="33"/>
        <v/>
      </c>
      <c r="C417" s="23" t="str">
        <f>IF(A417="","",IF(J417="IO",Calculator!C22,IF(B417&gt;0,MIN(Calculator!C21,B417*(1+Calculator!C17)),0)))</f>
        <v/>
      </c>
      <c r="D417" s="23" t="str">
        <f>IF(A417="","",IF(AND(J417="P&amp;I",A417&gt;=Calculator!C9),MIN(Calculator!C8,MAX(0,B417-C417+F417)),0))</f>
        <v/>
      </c>
      <c r="E417" s="23" t="str">
        <f t="shared" si="30"/>
        <v/>
      </c>
      <c r="F417" s="23" t="str">
        <f>IF(A417="","",IF(Calculator!C12="Beginning of Period",MAX(0,(B417-IF(J417="IO",Calculator!C22,Calculator!C21))*Calculator!C17),B417*Calculator!C17))</f>
        <v/>
      </c>
      <c r="G417" s="23" t="str">
        <f t="shared" si="31"/>
        <v/>
      </c>
      <c r="H417" s="23" t="str">
        <f t="shared" si="32"/>
        <v/>
      </c>
      <c r="I417" s="23" t="str">
        <f t="shared" si="34"/>
        <v/>
      </c>
      <c r="J417" s="24" t="str">
        <f>IF(A417="","",IF(A417&lt;=Calculator!C19,"IO","P&amp;I"))</f>
        <v/>
      </c>
    </row>
    <row r="418" spans="1:10" ht="15.75" customHeight="1" x14ac:dyDescent="0.25">
      <c r="A418" s="19" t="str">
        <f>IF(407&lt;=Calculator!C18,407,"")</f>
        <v/>
      </c>
      <c r="B418" s="20" t="str">
        <f t="shared" si="33"/>
        <v/>
      </c>
      <c r="C418" s="20" t="str">
        <f>IF(A418="","",IF(J418="IO",Calculator!C22,IF(B418&gt;0,MIN(Calculator!C21,B418*(1+Calculator!C17)),0)))</f>
        <v/>
      </c>
      <c r="D418" s="20" t="str">
        <f>IF(A418="","",IF(AND(J418="P&amp;I",A418&gt;=Calculator!C9),MIN(Calculator!C8,MAX(0,B418-C418+F418)),0))</f>
        <v/>
      </c>
      <c r="E418" s="20" t="str">
        <f t="shared" si="30"/>
        <v/>
      </c>
      <c r="F418" s="20" t="str">
        <f>IF(A418="","",IF(Calculator!C12="Beginning of Period",MAX(0,(B418-IF(J418="IO",Calculator!C22,Calculator!C21))*Calculator!C17),B418*Calculator!C17))</f>
        <v/>
      </c>
      <c r="G418" s="20" t="str">
        <f t="shared" si="31"/>
        <v/>
      </c>
      <c r="H418" s="20" t="str">
        <f t="shared" si="32"/>
        <v/>
      </c>
      <c r="I418" s="20" t="str">
        <f t="shared" si="34"/>
        <v/>
      </c>
      <c r="J418" s="21" t="str">
        <f>IF(A418="","",IF(A418&lt;=Calculator!C19,"IO","P&amp;I"))</f>
        <v/>
      </c>
    </row>
    <row r="419" spans="1:10" ht="15.75" customHeight="1" x14ac:dyDescent="0.25">
      <c r="A419" s="22" t="str">
        <f>IF(408&lt;=Calculator!C18,408,"")</f>
        <v/>
      </c>
      <c r="B419" s="23" t="str">
        <f t="shared" si="33"/>
        <v/>
      </c>
      <c r="C419" s="23" t="str">
        <f>IF(A419="","",IF(J419="IO",Calculator!C22,IF(B419&gt;0,MIN(Calculator!C21,B419*(1+Calculator!C17)),0)))</f>
        <v/>
      </c>
      <c r="D419" s="23" t="str">
        <f>IF(A419="","",IF(AND(J419="P&amp;I",A419&gt;=Calculator!C9),MIN(Calculator!C8,MAX(0,B419-C419+F419)),0))</f>
        <v/>
      </c>
      <c r="E419" s="23" t="str">
        <f t="shared" si="30"/>
        <v/>
      </c>
      <c r="F419" s="23" t="str">
        <f>IF(A419="","",IF(Calculator!C12="Beginning of Period",MAX(0,(B419-IF(J419="IO",Calculator!C22,Calculator!C21))*Calculator!C17),B419*Calculator!C17))</f>
        <v/>
      </c>
      <c r="G419" s="23" t="str">
        <f t="shared" si="31"/>
        <v/>
      </c>
      <c r="H419" s="23" t="str">
        <f t="shared" si="32"/>
        <v/>
      </c>
      <c r="I419" s="23" t="str">
        <f t="shared" si="34"/>
        <v/>
      </c>
      <c r="J419" s="24" t="str">
        <f>IF(A419="","",IF(A419&lt;=Calculator!C19,"IO","P&amp;I"))</f>
        <v/>
      </c>
    </row>
    <row r="420" spans="1:10" ht="15.75" customHeight="1" x14ac:dyDescent="0.25">
      <c r="A420" s="19" t="str">
        <f>IF(409&lt;=Calculator!C18,409,"")</f>
        <v/>
      </c>
      <c r="B420" s="20" t="str">
        <f t="shared" si="33"/>
        <v/>
      </c>
      <c r="C420" s="20" t="str">
        <f>IF(A420="","",IF(J420="IO",Calculator!C22,IF(B420&gt;0,MIN(Calculator!C21,B420*(1+Calculator!C17)),0)))</f>
        <v/>
      </c>
      <c r="D420" s="20" t="str">
        <f>IF(A420="","",IF(AND(J420="P&amp;I",A420&gt;=Calculator!C9),MIN(Calculator!C8,MAX(0,B420-C420+F420)),0))</f>
        <v/>
      </c>
      <c r="E420" s="20" t="str">
        <f t="shared" si="30"/>
        <v/>
      </c>
      <c r="F420" s="20" t="str">
        <f>IF(A420="","",IF(Calculator!C12="Beginning of Period",MAX(0,(B420-IF(J420="IO",Calculator!C22,Calculator!C21))*Calculator!C17),B420*Calculator!C17))</f>
        <v/>
      </c>
      <c r="G420" s="20" t="str">
        <f t="shared" si="31"/>
        <v/>
      </c>
      <c r="H420" s="20" t="str">
        <f t="shared" si="32"/>
        <v/>
      </c>
      <c r="I420" s="20" t="str">
        <f t="shared" si="34"/>
        <v/>
      </c>
      <c r="J420" s="21" t="str">
        <f>IF(A420="","",IF(A420&lt;=Calculator!C19,"IO","P&amp;I"))</f>
        <v/>
      </c>
    </row>
    <row r="421" spans="1:10" ht="15.75" customHeight="1" x14ac:dyDescent="0.25">
      <c r="A421" s="22" t="str">
        <f>IF(410&lt;=Calculator!C18,410,"")</f>
        <v/>
      </c>
      <c r="B421" s="23" t="str">
        <f t="shared" si="33"/>
        <v/>
      </c>
      <c r="C421" s="23" t="str">
        <f>IF(A421="","",IF(J421="IO",Calculator!C22,IF(B421&gt;0,MIN(Calculator!C21,B421*(1+Calculator!C17)),0)))</f>
        <v/>
      </c>
      <c r="D421" s="23" t="str">
        <f>IF(A421="","",IF(AND(J421="P&amp;I",A421&gt;=Calculator!C9),MIN(Calculator!C8,MAX(0,B421-C421+F421)),0))</f>
        <v/>
      </c>
      <c r="E421" s="23" t="str">
        <f t="shared" si="30"/>
        <v/>
      </c>
      <c r="F421" s="23" t="str">
        <f>IF(A421="","",IF(Calculator!C12="Beginning of Period",MAX(0,(B421-IF(J421="IO",Calculator!C22,Calculator!C21))*Calculator!C17),B421*Calculator!C17))</f>
        <v/>
      </c>
      <c r="G421" s="23" t="str">
        <f t="shared" si="31"/>
        <v/>
      </c>
      <c r="H421" s="23" t="str">
        <f t="shared" si="32"/>
        <v/>
      </c>
      <c r="I421" s="23" t="str">
        <f t="shared" si="34"/>
        <v/>
      </c>
      <c r="J421" s="24" t="str">
        <f>IF(A421="","",IF(A421&lt;=Calculator!C19,"IO","P&amp;I"))</f>
        <v/>
      </c>
    </row>
    <row r="422" spans="1:10" ht="15.75" customHeight="1" x14ac:dyDescent="0.25">
      <c r="A422" s="19" t="str">
        <f>IF(411&lt;=Calculator!C18,411,"")</f>
        <v/>
      </c>
      <c r="B422" s="20" t="str">
        <f t="shared" si="33"/>
        <v/>
      </c>
      <c r="C422" s="20" t="str">
        <f>IF(A422="","",IF(J422="IO",Calculator!C22,IF(B422&gt;0,MIN(Calculator!C21,B422*(1+Calculator!C17)),0)))</f>
        <v/>
      </c>
      <c r="D422" s="20" t="str">
        <f>IF(A422="","",IF(AND(J422="P&amp;I",A422&gt;=Calculator!C9),MIN(Calculator!C8,MAX(0,B422-C422+F422)),0))</f>
        <v/>
      </c>
      <c r="E422" s="20" t="str">
        <f t="shared" si="30"/>
        <v/>
      </c>
      <c r="F422" s="20" t="str">
        <f>IF(A422="","",IF(Calculator!C12="Beginning of Period",MAX(0,(B422-IF(J422="IO",Calculator!C22,Calculator!C21))*Calculator!C17),B422*Calculator!C17))</f>
        <v/>
      </c>
      <c r="G422" s="20" t="str">
        <f t="shared" si="31"/>
        <v/>
      </c>
      <c r="H422" s="20" t="str">
        <f t="shared" si="32"/>
        <v/>
      </c>
      <c r="I422" s="20" t="str">
        <f t="shared" si="34"/>
        <v/>
      </c>
      <c r="J422" s="21" t="str">
        <f>IF(A422="","",IF(A422&lt;=Calculator!C19,"IO","P&amp;I"))</f>
        <v/>
      </c>
    </row>
    <row r="423" spans="1:10" ht="15.75" customHeight="1" x14ac:dyDescent="0.25">
      <c r="A423" s="22" t="str">
        <f>IF(412&lt;=Calculator!C18,412,"")</f>
        <v/>
      </c>
      <c r="B423" s="23" t="str">
        <f t="shared" si="33"/>
        <v/>
      </c>
      <c r="C423" s="23" t="str">
        <f>IF(A423="","",IF(J423="IO",Calculator!C22,IF(B423&gt;0,MIN(Calculator!C21,B423*(1+Calculator!C17)),0)))</f>
        <v/>
      </c>
      <c r="D423" s="23" t="str">
        <f>IF(A423="","",IF(AND(J423="P&amp;I",A423&gt;=Calculator!C9),MIN(Calculator!C8,MAX(0,B423-C423+F423)),0))</f>
        <v/>
      </c>
      <c r="E423" s="23" t="str">
        <f t="shared" si="30"/>
        <v/>
      </c>
      <c r="F423" s="23" t="str">
        <f>IF(A423="","",IF(Calculator!C12="Beginning of Period",MAX(0,(B423-IF(J423="IO",Calculator!C22,Calculator!C21))*Calculator!C17),B423*Calculator!C17))</f>
        <v/>
      </c>
      <c r="G423" s="23" t="str">
        <f t="shared" si="31"/>
        <v/>
      </c>
      <c r="H423" s="23" t="str">
        <f t="shared" si="32"/>
        <v/>
      </c>
      <c r="I423" s="23" t="str">
        <f t="shared" si="34"/>
        <v/>
      </c>
      <c r="J423" s="24" t="str">
        <f>IF(A423="","",IF(A423&lt;=Calculator!C19,"IO","P&amp;I"))</f>
        <v/>
      </c>
    </row>
    <row r="424" spans="1:10" ht="15.75" customHeight="1" x14ac:dyDescent="0.25">
      <c r="A424" s="19" t="str">
        <f>IF(413&lt;=Calculator!C18,413,"")</f>
        <v/>
      </c>
      <c r="B424" s="20" t="str">
        <f t="shared" si="33"/>
        <v/>
      </c>
      <c r="C424" s="20" t="str">
        <f>IF(A424="","",IF(J424="IO",Calculator!C22,IF(B424&gt;0,MIN(Calculator!C21,B424*(1+Calculator!C17)),0)))</f>
        <v/>
      </c>
      <c r="D424" s="20" t="str">
        <f>IF(A424="","",IF(AND(J424="P&amp;I",A424&gt;=Calculator!C9),MIN(Calculator!C8,MAX(0,B424-C424+F424)),0))</f>
        <v/>
      </c>
      <c r="E424" s="20" t="str">
        <f t="shared" si="30"/>
        <v/>
      </c>
      <c r="F424" s="20" t="str">
        <f>IF(A424="","",IF(Calculator!C12="Beginning of Period",MAX(0,(B424-IF(J424="IO",Calculator!C22,Calculator!C21))*Calculator!C17),B424*Calculator!C17))</f>
        <v/>
      </c>
      <c r="G424" s="20" t="str">
        <f t="shared" si="31"/>
        <v/>
      </c>
      <c r="H424" s="20" t="str">
        <f t="shared" si="32"/>
        <v/>
      </c>
      <c r="I424" s="20" t="str">
        <f t="shared" si="34"/>
        <v/>
      </c>
      <c r="J424" s="21" t="str">
        <f>IF(A424="","",IF(A424&lt;=Calculator!C19,"IO","P&amp;I"))</f>
        <v/>
      </c>
    </row>
    <row r="425" spans="1:10" ht="15.75" customHeight="1" x14ac:dyDescent="0.25">
      <c r="A425" s="22" t="str">
        <f>IF(414&lt;=Calculator!C18,414,"")</f>
        <v/>
      </c>
      <c r="B425" s="23" t="str">
        <f t="shared" si="33"/>
        <v/>
      </c>
      <c r="C425" s="23" t="str">
        <f>IF(A425="","",IF(J425="IO",Calculator!C22,IF(B425&gt;0,MIN(Calculator!C21,B425*(1+Calculator!C17)),0)))</f>
        <v/>
      </c>
      <c r="D425" s="23" t="str">
        <f>IF(A425="","",IF(AND(J425="P&amp;I",A425&gt;=Calculator!C9),MIN(Calculator!C8,MAX(0,B425-C425+F425)),0))</f>
        <v/>
      </c>
      <c r="E425" s="23" t="str">
        <f t="shared" si="30"/>
        <v/>
      </c>
      <c r="F425" s="23" t="str">
        <f>IF(A425="","",IF(Calculator!C12="Beginning of Period",MAX(0,(B425-IF(J425="IO",Calculator!C22,Calculator!C21))*Calculator!C17),B425*Calculator!C17))</f>
        <v/>
      </c>
      <c r="G425" s="23" t="str">
        <f t="shared" si="31"/>
        <v/>
      </c>
      <c r="H425" s="23" t="str">
        <f t="shared" si="32"/>
        <v/>
      </c>
      <c r="I425" s="23" t="str">
        <f t="shared" si="34"/>
        <v/>
      </c>
      <c r="J425" s="24" t="str">
        <f>IF(A425="","",IF(A425&lt;=Calculator!C19,"IO","P&amp;I"))</f>
        <v/>
      </c>
    </row>
    <row r="426" spans="1:10" ht="15.75" customHeight="1" x14ac:dyDescent="0.25">
      <c r="A426" s="19" t="str">
        <f>IF(415&lt;=Calculator!C18,415,"")</f>
        <v/>
      </c>
      <c r="B426" s="20" t="str">
        <f t="shared" si="33"/>
        <v/>
      </c>
      <c r="C426" s="20" t="str">
        <f>IF(A426="","",IF(J426="IO",Calculator!C22,IF(B426&gt;0,MIN(Calculator!C21,B426*(1+Calculator!C17)),0)))</f>
        <v/>
      </c>
      <c r="D426" s="20" t="str">
        <f>IF(A426="","",IF(AND(J426="P&amp;I",A426&gt;=Calculator!C9),MIN(Calculator!C8,MAX(0,B426-C426+F426)),0))</f>
        <v/>
      </c>
      <c r="E426" s="20" t="str">
        <f t="shared" si="30"/>
        <v/>
      </c>
      <c r="F426" s="20" t="str">
        <f>IF(A426="","",IF(Calculator!C12="Beginning of Period",MAX(0,(B426-IF(J426="IO",Calculator!C22,Calculator!C21))*Calculator!C17),B426*Calculator!C17))</f>
        <v/>
      </c>
      <c r="G426" s="20" t="str">
        <f t="shared" si="31"/>
        <v/>
      </c>
      <c r="H426" s="20" t="str">
        <f t="shared" si="32"/>
        <v/>
      </c>
      <c r="I426" s="20" t="str">
        <f t="shared" si="34"/>
        <v/>
      </c>
      <c r="J426" s="21" t="str">
        <f>IF(A426="","",IF(A426&lt;=Calculator!C19,"IO","P&amp;I"))</f>
        <v/>
      </c>
    </row>
    <row r="427" spans="1:10" ht="15.75" customHeight="1" x14ac:dyDescent="0.25">
      <c r="A427" s="22" t="str">
        <f>IF(416&lt;=Calculator!C18,416,"")</f>
        <v/>
      </c>
      <c r="B427" s="23" t="str">
        <f t="shared" si="33"/>
        <v/>
      </c>
      <c r="C427" s="23" t="str">
        <f>IF(A427="","",IF(J427="IO",Calculator!C22,IF(B427&gt;0,MIN(Calculator!C21,B427*(1+Calculator!C17)),0)))</f>
        <v/>
      </c>
      <c r="D427" s="23" t="str">
        <f>IF(A427="","",IF(AND(J427="P&amp;I",A427&gt;=Calculator!C9),MIN(Calculator!C8,MAX(0,B427-C427+F427)),0))</f>
        <v/>
      </c>
      <c r="E427" s="23" t="str">
        <f t="shared" si="30"/>
        <v/>
      </c>
      <c r="F427" s="23" t="str">
        <f>IF(A427="","",IF(Calculator!C12="Beginning of Period",MAX(0,(B427-IF(J427="IO",Calculator!C22,Calculator!C21))*Calculator!C17),B427*Calculator!C17))</f>
        <v/>
      </c>
      <c r="G427" s="23" t="str">
        <f t="shared" si="31"/>
        <v/>
      </c>
      <c r="H427" s="23" t="str">
        <f t="shared" si="32"/>
        <v/>
      </c>
      <c r="I427" s="23" t="str">
        <f t="shared" si="34"/>
        <v/>
      </c>
      <c r="J427" s="24" t="str">
        <f>IF(A427="","",IF(A427&lt;=Calculator!C19,"IO","P&amp;I"))</f>
        <v/>
      </c>
    </row>
    <row r="428" spans="1:10" ht="15.75" customHeight="1" x14ac:dyDescent="0.25">
      <c r="A428" s="19" t="str">
        <f>IF(417&lt;=Calculator!C18,417,"")</f>
        <v/>
      </c>
      <c r="B428" s="20" t="str">
        <f t="shared" si="33"/>
        <v/>
      </c>
      <c r="C428" s="20" t="str">
        <f>IF(A428="","",IF(J428="IO",Calculator!C22,IF(B428&gt;0,MIN(Calculator!C21,B428*(1+Calculator!C17)),0)))</f>
        <v/>
      </c>
      <c r="D428" s="20" t="str">
        <f>IF(A428="","",IF(AND(J428="P&amp;I",A428&gt;=Calculator!C9),MIN(Calculator!C8,MAX(0,B428-C428+F428)),0))</f>
        <v/>
      </c>
      <c r="E428" s="20" t="str">
        <f t="shared" si="30"/>
        <v/>
      </c>
      <c r="F428" s="20" t="str">
        <f>IF(A428="","",IF(Calculator!C12="Beginning of Period",MAX(0,(B428-IF(J428="IO",Calculator!C22,Calculator!C21))*Calculator!C17),B428*Calculator!C17))</f>
        <v/>
      </c>
      <c r="G428" s="20" t="str">
        <f t="shared" si="31"/>
        <v/>
      </c>
      <c r="H428" s="20" t="str">
        <f t="shared" si="32"/>
        <v/>
      </c>
      <c r="I428" s="20" t="str">
        <f t="shared" si="34"/>
        <v/>
      </c>
      <c r="J428" s="21" t="str">
        <f>IF(A428="","",IF(A428&lt;=Calculator!C19,"IO","P&amp;I"))</f>
        <v/>
      </c>
    </row>
    <row r="429" spans="1:10" ht="15.75" customHeight="1" x14ac:dyDescent="0.25">
      <c r="A429" s="22" t="str">
        <f>IF(418&lt;=Calculator!C18,418,"")</f>
        <v/>
      </c>
      <c r="B429" s="23" t="str">
        <f t="shared" si="33"/>
        <v/>
      </c>
      <c r="C429" s="23" t="str">
        <f>IF(A429="","",IF(J429="IO",Calculator!C22,IF(B429&gt;0,MIN(Calculator!C21,B429*(1+Calculator!C17)),0)))</f>
        <v/>
      </c>
      <c r="D429" s="23" t="str">
        <f>IF(A429="","",IF(AND(J429="P&amp;I",A429&gt;=Calculator!C9),MIN(Calculator!C8,MAX(0,B429-C429+F429)),0))</f>
        <v/>
      </c>
      <c r="E429" s="23" t="str">
        <f t="shared" si="30"/>
        <v/>
      </c>
      <c r="F429" s="23" t="str">
        <f>IF(A429="","",IF(Calculator!C12="Beginning of Period",MAX(0,(B429-IF(J429="IO",Calculator!C22,Calculator!C21))*Calculator!C17),B429*Calculator!C17))</f>
        <v/>
      </c>
      <c r="G429" s="23" t="str">
        <f t="shared" si="31"/>
        <v/>
      </c>
      <c r="H429" s="23" t="str">
        <f t="shared" si="32"/>
        <v/>
      </c>
      <c r="I429" s="23" t="str">
        <f t="shared" si="34"/>
        <v/>
      </c>
      <c r="J429" s="24" t="str">
        <f>IF(A429="","",IF(A429&lt;=Calculator!C19,"IO","P&amp;I"))</f>
        <v/>
      </c>
    </row>
    <row r="430" spans="1:10" ht="15.75" customHeight="1" x14ac:dyDescent="0.25">
      <c r="A430" s="19" t="str">
        <f>IF(419&lt;=Calculator!C18,419,"")</f>
        <v/>
      </c>
      <c r="B430" s="20" t="str">
        <f t="shared" si="33"/>
        <v/>
      </c>
      <c r="C430" s="20" t="str">
        <f>IF(A430="","",IF(J430="IO",Calculator!C22,IF(B430&gt;0,MIN(Calculator!C21,B430*(1+Calculator!C17)),0)))</f>
        <v/>
      </c>
      <c r="D430" s="20" t="str">
        <f>IF(A430="","",IF(AND(J430="P&amp;I",A430&gt;=Calculator!C9),MIN(Calculator!C8,MAX(0,B430-C430+F430)),0))</f>
        <v/>
      </c>
      <c r="E430" s="20" t="str">
        <f t="shared" si="30"/>
        <v/>
      </c>
      <c r="F430" s="20" t="str">
        <f>IF(A430="","",IF(Calculator!C12="Beginning of Period",MAX(0,(B430-IF(J430="IO",Calculator!C22,Calculator!C21))*Calculator!C17),B430*Calculator!C17))</f>
        <v/>
      </c>
      <c r="G430" s="20" t="str">
        <f t="shared" si="31"/>
        <v/>
      </c>
      <c r="H430" s="20" t="str">
        <f t="shared" si="32"/>
        <v/>
      </c>
      <c r="I430" s="20" t="str">
        <f t="shared" si="34"/>
        <v/>
      </c>
      <c r="J430" s="21" t="str">
        <f>IF(A430="","",IF(A430&lt;=Calculator!C19,"IO","P&amp;I"))</f>
        <v/>
      </c>
    </row>
    <row r="431" spans="1:10" ht="15.75" customHeight="1" x14ac:dyDescent="0.25">
      <c r="A431" s="22" t="str">
        <f>IF(420&lt;=Calculator!C18,420,"")</f>
        <v/>
      </c>
      <c r="B431" s="23" t="str">
        <f t="shared" si="33"/>
        <v/>
      </c>
      <c r="C431" s="23" t="str">
        <f>IF(A431="","",IF(J431="IO",Calculator!C22,IF(B431&gt;0,MIN(Calculator!C21,B431*(1+Calculator!C17)),0)))</f>
        <v/>
      </c>
      <c r="D431" s="23" t="str">
        <f>IF(A431="","",IF(AND(J431="P&amp;I",A431&gt;=Calculator!C9),MIN(Calculator!C8,MAX(0,B431-C431+F431)),0))</f>
        <v/>
      </c>
      <c r="E431" s="23" t="str">
        <f t="shared" si="30"/>
        <v/>
      </c>
      <c r="F431" s="23" t="str">
        <f>IF(A431="","",IF(Calculator!C12="Beginning of Period",MAX(0,(B431-IF(J431="IO",Calculator!C22,Calculator!C21))*Calculator!C17),B431*Calculator!C17))</f>
        <v/>
      </c>
      <c r="G431" s="23" t="str">
        <f t="shared" si="31"/>
        <v/>
      </c>
      <c r="H431" s="23" t="str">
        <f t="shared" si="32"/>
        <v/>
      </c>
      <c r="I431" s="23" t="str">
        <f t="shared" si="34"/>
        <v/>
      </c>
      <c r="J431" s="24" t="str">
        <f>IF(A431="","",IF(A431&lt;=Calculator!C19,"IO","P&amp;I"))</f>
        <v/>
      </c>
    </row>
    <row r="432" spans="1:10" ht="15.75" customHeight="1" x14ac:dyDescent="0.25">
      <c r="A432" s="19" t="str">
        <f>IF(421&lt;=Calculator!C18,421,"")</f>
        <v/>
      </c>
      <c r="B432" s="20" t="str">
        <f t="shared" si="33"/>
        <v/>
      </c>
      <c r="C432" s="20" t="str">
        <f>IF(A432="","",IF(J432="IO",Calculator!C22,IF(B432&gt;0,MIN(Calculator!C21,B432*(1+Calculator!C17)),0)))</f>
        <v/>
      </c>
      <c r="D432" s="20" t="str">
        <f>IF(A432="","",IF(AND(J432="P&amp;I",A432&gt;=Calculator!C9),MIN(Calculator!C8,MAX(0,B432-C432+F432)),0))</f>
        <v/>
      </c>
      <c r="E432" s="20" t="str">
        <f t="shared" si="30"/>
        <v/>
      </c>
      <c r="F432" s="20" t="str">
        <f>IF(A432="","",IF(Calculator!C12="Beginning of Period",MAX(0,(B432-IF(J432="IO",Calculator!C22,Calculator!C21))*Calculator!C17),B432*Calculator!C17))</f>
        <v/>
      </c>
      <c r="G432" s="20" t="str">
        <f t="shared" si="31"/>
        <v/>
      </c>
      <c r="H432" s="20" t="str">
        <f t="shared" si="32"/>
        <v/>
      </c>
      <c r="I432" s="20" t="str">
        <f t="shared" si="34"/>
        <v/>
      </c>
      <c r="J432" s="21" t="str">
        <f>IF(A432="","",IF(A432&lt;=Calculator!C19,"IO","P&amp;I"))</f>
        <v/>
      </c>
    </row>
    <row r="433" spans="1:10" ht="15.75" customHeight="1" x14ac:dyDescent="0.25">
      <c r="A433" s="22" t="str">
        <f>IF(422&lt;=Calculator!C18,422,"")</f>
        <v/>
      </c>
      <c r="B433" s="23" t="str">
        <f t="shared" si="33"/>
        <v/>
      </c>
      <c r="C433" s="23" t="str">
        <f>IF(A433="","",IF(J433="IO",Calculator!C22,IF(B433&gt;0,MIN(Calculator!C21,B433*(1+Calculator!C17)),0)))</f>
        <v/>
      </c>
      <c r="D433" s="23" t="str">
        <f>IF(A433="","",IF(AND(J433="P&amp;I",A433&gt;=Calculator!C9),MIN(Calculator!C8,MAX(0,B433-C433+F433)),0))</f>
        <v/>
      </c>
      <c r="E433" s="23" t="str">
        <f t="shared" si="30"/>
        <v/>
      </c>
      <c r="F433" s="23" t="str">
        <f>IF(A433="","",IF(Calculator!C12="Beginning of Period",MAX(0,(B433-IF(J433="IO",Calculator!C22,Calculator!C21))*Calculator!C17),B433*Calculator!C17))</f>
        <v/>
      </c>
      <c r="G433" s="23" t="str">
        <f t="shared" si="31"/>
        <v/>
      </c>
      <c r="H433" s="23" t="str">
        <f t="shared" si="32"/>
        <v/>
      </c>
      <c r="I433" s="23" t="str">
        <f t="shared" si="34"/>
        <v/>
      </c>
      <c r="J433" s="24" t="str">
        <f>IF(A433="","",IF(A433&lt;=Calculator!C19,"IO","P&amp;I"))</f>
        <v/>
      </c>
    </row>
    <row r="434" spans="1:10" ht="15.75" customHeight="1" x14ac:dyDescent="0.25">
      <c r="A434" s="19" t="str">
        <f>IF(423&lt;=Calculator!C18,423,"")</f>
        <v/>
      </c>
      <c r="B434" s="20" t="str">
        <f t="shared" si="33"/>
        <v/>
      </c>
      <c r="C434" s="20" t="str">
        <f>IF(A434="","",IF(J434="IO",Calculator!C22,IF(B434&gt;0,MIN(Calculator!C21,B434*(1+Calculator!C17)),0)))</f>
        <v/>
      </c>
      <c r="D434" s="20" t="str">
        <f>IF(A434="","",IF(AND(J434="P&amp;I",A434&gt;=Calculator!C9),MIN(Calculator!C8,MAX(0,B434-C434+F434)),0))</f>
        <v/>
      </c>
      <c r="E434" s="20" t="str">
        <f t="shared" si="30"/>
        <v/>
      </c>
      <c r="F434" s="20" t="str">
        <f>IF(A434="","",IF(Calculator!C12="Beginning of Period",MAX(0,(B434-IF(J434="IO",Calculator!C22,Calculator!C21))*Calculator!C17),B434*Calculator!C17))</f>
        <v/>
      </c>
      <c r="G434" s="20" t="str">
        <f t="shared" si="31"/>
        <v/>
      </c>
      <c r="H434" s="20" t="str">
        <f t="shared" si="32"/>
        <v/>
      </c>
      <c r="I434" s="20" t="str">
        <f t="shared" si="34"/>
        <v/>
      </c>
      <c r="J434" s="21" t="str">
        <f>IF(A434="","",IF(A434&lt;=Calculator!C19,"IO","P&amp;I"))</f>
        <v/>
      </c>
    </row>
    <row r="435" spans="1:10" ht="15.75" customHeight="1" x14ac:dyDescent="0.25">
      <c r="A435" s="22" t="str">
        <f>IF(424&lt;=Calculator!C18,424,"")</f>
        <v/>
      </c>
      <c r="B435" s="23" t="str">
        <f t="shared" si="33"/>
        <v/>
      </c>
      <c r="C435" s="23" t="str">
        <f>IF(A435="","",IF(J435="IO",Calculator!C22,IF(B435&gt;0,MIN(Calculator!C21,B435*(1+Calculator!C17)),0)))</f>
        <v/>
      </c>
      <c r="D435" s="23" t="str">
        <f>IF(A435="","",IF(AND(J435="P&amp;I",A435&gt;=Calculator!C9),MIN(Calculator!C8,MAX(0,B435-C435+F435)),0))</f>
        <v/>
      </c>
      <c r="E435" s="23" t="str">
        <f t="shared" si="30"/>
        <v/>
      </c>
      <c r="F435" s="23" t="str">
        <f>IF(A435="","",IF(Calculator!C12="Beginning of Period",MAX(0,(B435-IF(J435="IO",Calculator!C22,Calculator!C21))*Calculator!C17),B435*Calculator!C17))</f>
        <v/>
      </c>
      <c r="G435" s="23" t="str">
        <f t="shared" si="31"/>
        <v/>
      </c>
      <c r="H435" s="23" t="str">
        <f t="shared" si="32"/>
        <v/>
      </c>
      <c r="I435" s="23" t="str">
        <f t="shared" si="34"/>
        <v/>
      </c>
      <c r="J435" s="24" t="str">
        <f>IF(A435="","",IF(A435&lt;=Calculator!C19,"IO","P&amp;I"))</f>
        <v/>
      </c>
    </row>
    <row r="436" spans="1:10" ht="15.75" customHeight="1" x14ac:dyDescent="0.25">
      <c r="A436" s="19" t="str">
        <f>IF(425&lt;=Calculator!C18,425,"")</f>
        <v/>
      </c>
      <c r="B436" s="20" t="str">
        <f t="shared" si="33"/>
        <v/>
      </c>
      <c r="C436" s="20" t="str">
        <f>IF(A436="","",IF(J436="IO",Calculator!C22,IF(B436&gt;0,MIN(Calculator!C21,B436*(1+Calculator!C17)),0)))</f>
        <v/>
      </c>
      <c r="D436" s="20" t="str">
        <f>IF(A436="","",IF(AND(J436="P&amp;I",A436&gt;=Calculator!C9),MIN(Calculator!C8,MAX(0,B436-C436+F436)),0))</f>
        <v/>
      </c>
      <c r="E436" s="20" t="str">
        <f t="shared" si="30"/>
        <v/>
      </c>
      <c r="F436" s="20" t="str">
        <f>IF(A436="","",IF(Calculator!C12="Beginning of Period",MAX(0,(B436-IF(J436="IO",Calculator!C22,Calculator!C21))*Calculator!C17),B436*Calculator!C17))</f>
        <v/>
      </c>
      <c r="G436" s="20" t="str">
        <f t="shared" si="31"/>
        <v/>
      </c>
      <c r="H436" s="20" t="str">
        <f t="shared" si="32"/>
        <v/>
      </c>
      <c r="I436" s="20" t="str">
        <f t="shared" si="34"/>
        <v/>
      </c>
      <c r="J436" s="21" t="str">
        <f>IF(A436="","",IF(A436&lt;=Calculator!C19,"IO","P&amp;I"))</f>
        <v/>
      </c>
    </row>
    <row r="437" spans="1:10" ht="15.75" customHeight="1" x14ac:dyDescent="0.25">
      <c r="A437" s="22" t="str">
        <f>IF(426&lt;=Calculator!C18,426,"")</f>
        <v/>
      </c>
      <c r="B437" s="23" t="str">
        <f t="shared" si="33"/>
        <v/>
      </c>
      <c r="C437" s="23" t="str">
        <f>IF(A437="","",IF(J437="IO",Calculator!C22,IF(B437&gt;0,MIN(Calculator!C21,B437*(1+Calculator!C17)),0)))</f>
        <v/>
      </c>
      <c r="D437" s="23" t="str">
        <f>IF(A437="","",IF(AND(J437="P&amp;I",A437&gt;=Calculator!C9),MIN(Calculator!C8,MAX(0,B437-C437+F437)),0))</f>
        <v/>
      </c>
      <c r="E437" s="23" t="str">
        <f t="shared" si="30"/>
        <v/>
      </c>
      <c r="F437" s="23" t="str">
        <f>IF(A437="","",IF(Calculator!C12="Beginning of Period",MAX(0,(B437-IF(J437="IO",Calculator!C22,Calculator!C21))*Calculator!C17),B437*Calculator!C17))</f>
        <v/>
      </c>
      <c r="G437" s="23" t="str">
        <f t="shared" si="31"/>
        <v/>
      </c>
      <c r="H437" s="23" t="str">
        <f t="shared" si="32"/>
        <v/>
      </c>
      <c r="I437" s="23" t="str">
        <f t="shared" si="34"/>
        <v/>
      </c>
      <c r="J437" s="24" t="str">
        <f>IF(A437="","",IF(A437&lt;=Calculator!C19,"IO","P&amp;I"))</f>
        <v/>
      </c>
    </row>
    <row r="438" spans="1:10" ht="15.75" customHeight="1" x14ac:dyDescent="0.25">
      <c r="A438" s="19" t="str">
        <f>IF(427&lt;=Calculator!C18,427,"")</f>
        <v/>
      </c>
      <c r="B438" s="20" t="str">
        <f t="shared" si="33"/>
        <v/>
      </c>
      <c r="C438" s="20" t="str">
        <f>IF(A438="","",IF(J438="IO",Calculator!C22,IF(B438&gt;0,MIN(Calculator!C21,B438*(1+Calculator!C17)),0)))</f>
        <v/>
      </c>
      <c r="D438" s="20" t="str">
        <f>IF(A438="","",IF(AND(J438="P&amp;I",A438&gt;=Calculator!C9),MIN(Calculator!C8,MAX(0,B438-C438+F438)),0))</f>
        <v/>
      </c>
      <c r="E438" s="20" t="str">
        <f t="shared" si="30"/>
        <v/>
      </c>
      <c r="F438" s="20" t="str">
        <f>IF(A438="","",IF(Calculator!C12="Beginning of Period",MAX(0,(B438-IF(J438="IO",Calculator!C22,Calculator!C21))*Calculator!C17),B438*Calculator!C17))</f>
        <v/>
      </c>
      <c r="G438" s="20" t="str">
        <f t="shared" si="31"/>
        <v/>
      </c>
      <c r="H438" s="20" t="str">
        <f t="shared" si="32"/>
        <v/>
      </c>
      <c r="I438" s="20" t="str">
        <f t="shared" si="34"/>
        <v/>
      </c>
      <c r="J438" s="21" t="str">
        <f>IF(A438="","",IF(A438&lt;=Calculator!C19,"IO","P&amp;I"))</f>
        <v/>
      </c>
    </row>
    <row r="439" spans="1:10" ht="15.75" customHeight="1" x14ac:dyDescent="0.25">
      <c r="A439" s="22" t="str">
        <f>IF(428&lt;=Calculator!C18,428,"")</f>
        <v/>
      </c>
      <c r="B439" s="23" t="str">
        <f t="shared" si="33"/>
        <v/>
      </c>
      <c r="C439" s="23" t="str">
        <f>IF(A439="","",IF(J439="IO",Calculator!C22,IF(B439&gt;0,MIN(Calculator!C21,B439*(1+Calculator!C17)),0)))</f>
        <v/>
      </c>
      <c r="D439" s="23" t="str">
        <f>IF(A439="","",IF(AND(J439="P&amp;I",A439&gt;=Calculator!C9),MIN(Calculator!C8,MAX(0,B439-C439+F439)),0))</f>
        <v/>
      </c>
      <c r="E439" s="23" t="str">
        <f t="shared" si="30"/>
        <v/>
      </c>
      <c r="F439" s="23" t="str">
        <f>IF(A439="","",IF(Calculator!C12="Beginning of Period",MAX(0,(B439-IF(J439="IO",Calculator!C22,Calculator!C21))*Calculator!C17),B439*Calculator!C17))</f>
        <v/>
      </c>
      <c r="G439" s="23" t="str">
        <f t="shared" si="31"/>
        <v/>
      </c>
      <c r="H439" s="23" t="str">
        <f t="shared" si="32"/>
        <v/>
      </c>
      <c r="I439" s="23" t="str">
        <f t="shared" si="34"/>
        <v/>
      </c>
      <c r="J439" s="24" t="str">
        <f>IF(A439="","",IF(A439&lt;=Calculator!C19,"IO","P&amp;I"))</f>
        <v/>
      </c>
    </row>
    <row r="440" spans="1:10" ht="15.75" customHeight="1" x14ac:dyDescent="0.25">
      <c r="A440" s="19" t="str">
        <f>IF(429&lt;=Calculator!C18,429,"")</f>
        <v/>
      </c>
      <c r="B440" s="20" t="str">
        <f t="shared" si="33"/>
        <v/>
      </c>
      <c r="C440" s="20" t="str">
        <f>IF(A440="","",IF(J440="IO",Calculator!C22,IF(B440&gt;0,MIN(Calculator!C21,B440*(1+Calculator!C17)),0)))</f>
        <v/>
      </c>
      <c r="D440" s="20" t="str">
        <f>IF(A440="","",IF(AND(J440="P&amp;I",A440&gt;=Calculator!C9),MIN(Calculator!C8,MAX(0,B440-C440+F440)),0))</f>
        <v/>
      </c>
      <c r="E440" s="20" t="str">
        <f t="shared" si="30"/>
        <v/>
      </c>
      <c r="F440" s="20" t="str">
        <f>IF(A440="","",IF(Calculator!C12="Beginning of Period",MAX(0,(B440-IF(J440="IO",Calculator!C22,Calculator!C21))*Calculator!C17),B440*Calculator!C17))</f>
        <v/>
      </c>
      <c r="G440" s="20" t="str">
        <f t="shared" si="31"/>
        <v/>
      </c>
      <c r="H440" s="20" t="str">
        <f t="shared" si="32"/>
        <v/>
      </c>
      <c r="I440" s="20" t="str">
        <f t="shared" si="34"/>
        <v/>
      </c>
      <c r="J440" s="21" t="str">
        <f>IF(A440="","",IF(A440&lt;=Calculator!C19,"IO","P&amp;I"))</f>
        <v/>
      </c>
    </row>
    <row r="441" spans="1:10" ht="15.75" customHeight="1" x14ac:dyDescent="0.25">
      <c r="A441" s="22" t="str">
        <f>IF(430&lt;=Calculator!C18,430,"")</f>
        <v/>
      </c>
      <c r="B441" s="23" t="str">
        <f t="shared" si="33"/>
        <v/>
      </c>
      <c r="C441" s="23" t="str">
        <f>IF(A441="","",IF(J441="IO",Calculator!C22,IF(B441&gt;0,MIN(Calculator!C21,B441*(1+Calculator!C17)),0)))</f>
        <v/>
      </c>
      <c r="D441" s="23" t="str">
        <f>IF(A441="","",IF(AND(J441="P&amp;I",A441&gt;=Calculator!C9),MIN(Calculator!C8,MAX(0,B441-C441+F441)),0))</f>
        <v/>
      </c>
      <c r="E441" s="23" t="str">
        <f t="shared" si="30"/>
        <v/>
      </c>
      <c r="F441" s="23" t="str">
        <f>IF(A441="","",IF(Calculator!C12="Beginning of Period",MAX(0,(B441-IF(J441="IO",Calculator!C22,Calculator!C21))*Calculator!C17),B441*Calculator!C17))</f>
        <v/>
      </c>
      <c r="G441" s="23" t="str">
        <f t="shared" si="31"/>
        <v/>
      </c>
      <c r="H441" s="23" t="str">
        <f t="shared" si="32"/>
        <v/>
      </c>
      <c r="I441" s="23" t="str">
        <f t="shared" si="34"/>
        <v/>
      </c>
      <c r="J441" s="24" t="str">
        <f>IF(A441="","",IF(A441&lt;=Calculator!C19,"IO","P&amp;I"))</f>
        <v/>
      </c>
    </row>
    <row r="442" spans="1:10" ht="15.75" customHeight="1" x14ac:dyDescent="0.25">
      <c r="A442" s="19" t="str">
        <f>IF(431&lt;=Calculator!C18,431,"")</f>
        <v/>
      </c>
      <c r="B442" s="20" t="str">
        <f t="shared" si="33"/>
        <v/>
      </c>
      <c r="C442" s="20" t="str">
        <f>IF(A442="","",IF(J442="IO",Calculator!C22,IF(B442&gt;0,MIN(Calculator!C21,B442*(1+Calculator!C17)),0)))</f>
        <v/>
      </c>
      <c r="D442" s="20" t="str">
        <f>IF(A442="","",IF(AND(J442="P&amp;I",A442&gt;=Calculator!C9),MIN(Calculator!C8,MAX(0,B442-C442+F442)),0))</f>
        <v/>
      </c>
      <c r="E442" s="20" t="str">
        <f t="shared" si="30"/>
        <v/>
      </c>
      <c r="F442" s="20" t="str">
        <f>IF(A442="","",IF(Calculator!C12="Beginning of Period",MAX(0,(B442-IF(J442="IO",Calculator!C22,Calculator!C21))*Calculator!C17),B442*Calculator!C17))</f>
        <v/>
      </c>
      <c r="G442" s="20" t="str">
        <f t="shared" si="31"/>
        <v/>
      </c>
      <c r="H442" s="20" t="str">
        <f t="shared" si="32"/>
        <v/>
      </c>
      <c r="I442" s="20" t="str">
        <f t="shared" si="34"/>
        <v/>
      </c>
      <c r="J442" s="21" t="str">
        <f>IF(A442="","",IF(A442&lt;=Calculator!C19,"IO","P&amp;I"))</f>
        <v/>
      </c>
    </row>
    <row r="443" spans="1:10" ht="15.75" customHeight="1" x14ac:dyDescent="0.25">
      <c r="A443" s="22" t="str">
        <f>IF(432&lt;=Calculator!C18,432,"")</f>
        <v/>
      </c>
      <c r="B443" s="23" t="str">
        <f t="shared" si="33"/>
        <v/>
      </c>
      <c r="C443" s="23" t="str">
        <f>IF(A443="","",IF(J443="IO",Calculator!C22,IF(B443&gt;0,MIN(Calculator!C21,B443*(1+Calculator!C17)),0)))</f>
        <v/>
      </c>
      <c r="D443" s="23" t="str">
        <f>IF(A443="","",IF(AND(J443="P&amp;I",A443&gt;=Calculator!C9),MIN(Calculator!C8,MAX(0,B443-C443+F443)),0))</f>
        <v/>
      </c>
      <c r="E443" s="23" t="str">
        <f t="shared" si="30"/>
        <v/>
      </c>
      <c r="F443" s="23" t="str">
        <f>IF(A443="","",IF(Calculator!C12="Beginning of Period",MAX(0,(B443-IF(J443="IO",Calculator!C22,Calculator!C21))*Calculator!C17),B443*Calculator!C17))</f>
        <v/>
      </c>
      <c r="G443" s="23" t="str">
        <f t="shared" si="31"/>
        <v/>
      </c>
      <c r="H443" s="23" t="str">
        <f t="shared" si="32"/>
        <v/>
      </c>
      <c r="I443" s="23" t="str">
        <f t="shared" si="34"/>
        <v/>
      </c>
      <c r="J443" s="24" t="str">
        <f>IF(A443="","",IF(A443&lt;=Calculator!C19,"IO","P&amp;I"))</f>
        <v/>
      </c>
    </row>
    <row r="444" spans="1:10" ht="15.75" customHeight="1" x14ac:dyDescent="0.25">
      <c r="A444" s="19" t="str">
        <f>IF(433&lt;=Calculator!C18,433,"")</f>
        <v/>
      </c>
      <c r="B444" s="20" t="str">
        <f t="shared" si="33"/>
        <v/>
      </c>
      <c r="C444" s="20" t="str">
        <f>IF(A444="","",IF(J444="IO",Calculator!C22,IF(B444&gt;0,MIN(Calculator!C21,B444*(1+Calculator!C17)),0)))</f>
        <v/>
      </c>
      <c r="D444" s="20" t="str">
        <f>IF(A444="","",IF(AND(J444="P&amp;I",A444&gt;=Calculator!C9),MIN(Calculator!C8,MAX(0,B444-C444+F444)),0))</f>
        <v/>
      </c>
      <c r="E444" s="20" t="str">
        <f t="shared" si="30"/>
        <v/>
      </c>
      <c r="F444" s="20" t="str">
        <f>IF(A444="","",IF(Calculator!C12="Beginning of Period",MAX(0,(B444-IF(J444="IO",Calculator!C22,Calculator!C21))*Calculator!C17),B444*Calculator!C17))</f>
        <v/>
      </c>
      <c r="G444" s="20" t="str">
        <f t="shared" si="31"/>
        <v/>
      </c>
      <c r="H444" s="20" t="str">
        <f t="shared" si="32"/>
        <v/>
      </c>
      <c r="I444" s="20" t="str">
        <f t="shared" si="34"/>
        <v/>
      </c>
      <c r="J444" s="21" t="str">
        <f>IF(A444="","",IF(A444&lt;=Calculator!C19,"IO","P&amp;I"))</f>
        <v/>
      </c>
    </row>
    <row r="445" spans="1:10" ht="15.75" customHeight="1" x14ac:dyDescent="0.25">
      <c r="A445" s="22" t="str">
        <f>IF(434&lt;=Calculator!C18,434,"")</f>
        <v/>
      </c>
      <c r="B445" s="23" t="str">
        <f t="shared" si="33"/>
        <v/>
      </c>
      <c r="C445" s="23" t="str">
        <f>IF(A445="","",IF(J445="IO",Calculator!C22,IF(B445&gt;0,MIN(Calculator!C21,B445*(1+Calculator!C17)),0)))</f>
        <v/>
      </c>
      <c r="D445" s="23" t="str">
        <f>IF(A445="","",IF(AND(J445="P&amp;I",A445&gt;=Calculator!C9),MIN(Calculator!C8,MAX(0,B445-C445+F445)),0))</f>
        <v/>
      </c>
      <c r="E445" s="23" t="str">
        <f t="shared" si="30"/>
        <v/>
      </c>
      <c r="F445" s="23" t="str">
        <f>IF(A445="","",IF(Calculator!C12="Beginning of Period",MAX(0,(B445-IF(J445="IO",Calculator!C22,Calculator!C21))*Calculator!C17),B445*Calculator!C17))</f>
        <v/>
      </c>
      <c r="G445" s="23" t="str">
        <f t="shared" si="31"/>
        <v/>
      </c>
      <c r="H445" s="23" t="str">
        <f t="shared" si="32"/>
        <v/>
      </c>
      <c r="I445" s="23" t="str">
        <f t="shared" si="34"/>
        <v/>
      </c>
      <c r="J445" s="24" t="str">
        <f>IF(A445="","",IF(A445&lt;=Calculator!C19,"IO","P&amp;I"))</f>
        <v/>
      </c>
    </row>
    <row r="446" spans="1:10" ht="15.75" customHeight="1" x14ac:dyDescent="0.25">
      <c r="A446" s="19" t="str">
        <f>IF(435&lt;=Calculator!C18,435,"")</f>
        <v/>
      </c>
      <c r="B446" s="20" t="str">
        <f t="shared" si="33"/>
        <v/>
      </c>
      <c r="C446" s="20" t="str">
        <f>IF(A446="","",IF(J446="IO",Calculator!C22,IF(B446&gt;0,MIN(Calculator!C21,B446*(1+Calculator!C17)),0)))</f>
        <v/>
      </c>
      <c r="D446" s="20" t="str">
        <f>IF(A446="","",IF(AND(J446="P&amp;I",A446&gt;=Calculator!C9),MIN(Calculator!C8,MAX(0,B446-C446+F446)),0))</f>
        <v/>
      </c>
      <c r="E446" s="20" t="str">
        <f t="shared" si="30"/>
        <v/>
      </c>
      <c r="F446" s="20" t="str">
        <f>IF(A446="","",IF(Calculator!C12="Beginning of Period",MAX(0,(B446-IF(J446="IO",Calculator!C22,Calculator!C21))*Calculator!C17),B446*Calculator!C17))</f>
        <v/>
      </c>
      <c r="G446" s="20" t="str">
        <f t="shared" si="31"/>
        <v/>
      </c>
      <c r="H446" s="20" t="str">
        <f t="shared" si="32"/>
        <v/>
      </c>
      <c r="I446" s="20" t="str">
        <f t="shared" si="34"/>
        <v/>
      </c>
      <c r="J446" s="21" t="str">
        <f>IF(A446="","",IF(A446&lt;=Calculator!C19,"IO","P&amp;I"))</f>
        <v/>
      </c>
    </row>
    <row r="447" spans="1:10" ht="15.75" customHeight="1" x14ac:dyDescent="0.25">
      <c r="A447" s="22" t="str">
        <f>IF(436&lt;=Calculator!C18,436,"")</f>
        <v/>
      </c>
      <c r="B447" s="23" t="str">
        <f t="shared" si="33"/>
        <v/>
      </c>
      <c r="C447" s="23" t="str">
        <f>IF(A447="","",IF(J447="IO",Calculator!C22,IF(B447&gt;0,MIN(Calculator!C21,B447*(1+Calculator!C17)),0)))</f>
        <v/>
      </c>
      <c r="D447" s="23" t="str">
        <f>IF(A447="","",IF(AND(J447="P&amp;I",A447&gt;=Calculator!C9),MIN(Calculator!C8,MAX(0,B447-C447+F447)),0))</f>
        <v/>
      </c>
      <c r="E447" s="23" t="str">
        <f t="shared" si="30"/>
        <v/>
      </c>
      <c r="F447" s="23" t="str">
        <f>IF(A447="","",IF(Calculator!C12="Beginning of Period",MAX(0,(B447-IF(J447="IO",Calculator!C22,Calculator!C21))*Calculator!C17),B447*Calculator!C17))</f>
        <v/>
      </c>
      <c r="G447" s="23" t="str">
        <f t="shared" si="31"/>
        <v/>
      </c>
      <c r="H447" s="23" t="str">
        <f t="shared" si="32"/>
        <v/>
      </c>
      <c r="I447" s="23" t="str">
        <f t="shared" si="34"/>
        <v/>
      </c>
      <c r="J447" s="24" t="str">
        <f>IF(A447="","",IF(A447&lt;=Calculator!C19,"IO","P&amp;I"))</f>
        <v/>
      </c>
    </row>
    <row r="448" spans="1:10" ht="15.75" customHeight="1" x14ac:dyDescent="0.25">
      <c r="A448" s="19" t="str">
        <f>IF(437&lt;=Calculator!C18,437,"")</f>
        <v/>
      </c>
      <c r="B448" s="20" t="str">
        <f t="shared" si="33"/>
        <v/>
      </c>
      <c r="C448" s="20" t="str">
        <f>IF(A448="","",IF(J448="IO",Calculator!C22,IF(B448&gt;0,MIN(Calculator!C21,B448*(1+Calculator!C17)),0)))</f>
        <v/>
      </c>
      <c r="D448" s="20" t="str">
        <f>IF(A448="","",IF(AND(J448="P&amp;I",A448&gt;=Calculator!C9),MIN(Calculator!C8,MAX(0,B448-C448+F448)),0))</f>
        <v/>
      </c>
      <c r="E448" s="20" t="str">
        <f t="shared" si="30"/>
        <v/>
      </c>
      <c r="F448" s="20" t="str">
        <f>IF(A448="","",IF(Calculator!C12="Beginning of Period",MAX(0,(B448-IF(J448="IO",Calculator!C22,Calculator!C21))*Calculator!C17),B448*Calculator!C17))</f>
        <v/>
      </c>
      <c r="G448" s="20" t="str">
        <f t="shared" si="31"/>
        <v/>
      </c>
      <c r="H448" s="20" t="str">
        <f t="shared" si="32"/>
        <v/>
      </c>
      <c r="I448" s="20" t="str">
        <f t="shared" si="34"/>
        <v/>
      </c>
      <c r="J448" s="21" t="str">
        <f>IF(A448="","",IF(A448&lt;=Calculator!C19,"IO","P&amp;I"))</f>
        <v/>
      </c>
    </row>
    <row r="449" spans="1:10" ht="15.75" customHeight="1" x14ac:dyDescent="0.25">
      <c r="A449" s="22" t="str">
        <f>IF(438&lt;=Calculator!C18,438,"")</f>
        <v/>
      </c>
      <c r="B449" s="23" t="str">
        <f t="shared" si="33"/>
        <v/>
      </c>
      <c r="C449" s="23" t="str">
        <f>IF(A449="","",IF(J449="IO",Calculator!C22,IF(B449&gt;0,MIN(Calculator!C21,B449*(1+Calculator!C17)),0)))</f>
        <v/>
      </c>
      <c r="D449" s="23" t="str">
        <f>IF(A449="","",IF(AND(J449="P&amp;I",A449&gt;=Calculator!C9),MIN(Calculator!C8,MAX(0,B449-C449+F449)),0))</f>
        <v/>
      </c>
      <c r="E449" s="23" t="str">
        <f t="shared" si="30"/>
        <v/>
      </c>
      <c r="F449" s="23" t="str">
        <f>IF(A449="","",IF(Calculator!C12="Beginning of Period",MAX(0,(B449-IF(J449="IO",Calculator!C22,Calculator!C21))*Calculator!C17),B449*Calculator!C17))</f>
        <v/>
      </c>
      <c r="G449" s="23" t="str">
        <f t="shared" si="31"/>
        <v/>
      </c>
      <c r="H449" s="23" t="str">
        <f t="shared" si="32"/>
        <v/>
      </c>
      <c r="I449" s="23" t="str">
        <f t="shared" si="34"/>
        <v/>
      </c>
      <c r="J449" s="24" t="str">
        <f>IF(A449="","",IF(A449&lt;=Calculator!C19,"IO","P&amp;I"))</f>
        <v/>
      </c>
    </row>
    <row r="450" spans="1:10" ht="15.75" customHeight="1" x14ac:dyDescent="0.25">
      <c r="A450" s="19" t="str">
        <f>IF(439&lt;=Calculator!C18,439,"")</f>
        <v/>
      </c>
      <c r="B450" s="20" t="str">
        <f t="shared" si="33"/>
        <v/>
      </c>
      <c r="C450" s="20" t="str">
        <f>IF(A450="","",IF(J450="IO",Calculator!C22,IF(B450&gt;0,MIN(Calculator!C21,B450*(1+Calculator!C17)),0)))</f>
        <v/>
      </c>
      <c r="D450" s="20" t="str">
        <f>IF(A450="","",IF(AND(J450="P&amp;I",A450&gt;=Calculator!C9),MIN(Calculator!C8,MAX(0,B450-C450+F450)),0))</f>
        <v/>
      </c>
      <c r="E450" s="20" t="str">
        <f t="shared" si="30"/>
        <v/>
      </c>
      <c r="F450" s="20" t="str">
        <f>IF(A450="","",IF(Calculator!C12="Beginning of Period",MAX(0,(B450-IF(J450="IO",Calculator!C22,Calculator!C21))*Calculator!C17),B450*Calculator!C17))</f>
        <v/>
      </c>
      <c r="G450" s="20" t="str">
        <f t="shared" si="31"/>
        <v/>
      </c>
      <c r="H450" s="20" t="str">
        <f t="shared" si="32"/>
        <v/>
      </c>
      <c r="I450" s="20" t="str">
        <f t="shared" si="34"/>
        <v/>
      </c>
      <c r="J450" s="21" t="str">
        <f>IF(A450="","",IF(A450&lt;=Calculator!C19,"IO","P&amp;I"))</f>
        <v/>
      </c>
    </row>
    <row r="451" spans="1:10" ht="15.75" customHeight="1" x14ac:dyDescent="0.25">
      <c r="A451" s="22" t="str">
        <f>IF(440&lt;=Calculator!C18,440,"")</f>
        <v/>
      </c>
      <c r="B451" s="23" t="str">
        <f t="shared" si="33"/>
        <v/>
      </c>
      <c r="C451" s="23" t="str">
        <f>IF(A451="","",IF(J451="IO",Calculator!C22,IF(B451&gt;0,MIN(Calculator!C21,B451*(1+Calculator!C17)),0)))</f>
        <v/>
      </c>
      <c r="D451" s="23" t="str">
        <f>IF(A451="","",IF(AND(J451="P&amp;I",A451&gt;=Calculator!C9),MIN(Calculator!C8,MAX(0,B451-C451+F451)),0))</f>
        <v/>
      </c>
      <c r="E451" s="23" t="str">
        <f t="shared" si="30"/>
        <v/>
      </c>
      <c r="F451" s="23" t="str">
        <f>IF(A451="","",IF(Calculator!C12="Beginning of Period",MAX(0,(B451-IF(J451="IO",Calculator!C22,Calculator!C21))*Calculator!C17),B451*Calculator!C17))</f>
        <v/>
      </c>
      <c r="G451" s="23" t="str">
        <f t="shared" si="31"/>
        <v/>
      </c>
      <c r="H451" s="23" t="str">
        <f t="shared" si="32"/>
        <v/>
      </c>
      <c r="I451" s="23" t="str">
        <f t="shared" si="34"/>
        <v/>
      </c>
      <c r="J451" s="24" t="str">
        <f>IF(A451="","",IF(A451&lt;=Calculator!C19,"IO","P&amp;I"))</f>
        <v/>
      </c>
    </row>
    <row r="452" spans="1:10" ht="15.75" customHeight="1" x14ac:dyDescent="0.25">
      <c r="A452" s="19" t="str">
        <f>IF(441&lt;=Calculator!C18,441,"")</f>
        <v/>
      </c>
      <c r="B452" s="20" t="str">
        <f t="shared" si="33"/>
        <v/>
      </c>
      <c r="C452" s="20" t="str">
        <f>IF(A452="","",IF(J452="IO",Calculator!C22,IF(B452&gt;0,MIN(Calculator!C21,B452*(1+Calculator!C17)),0)))</f>
        <v/>
      </c>
      <c r="D452" s="20" t="str">
        <f>IF(A452="","",IF(AND(J452="P&amp;I",A452&gt;=Calculator!C9),MIN(Calculator!C8,MAX(0,B452-C452+F452)),0))</f>
        <v/>
      </c>
      <c r="E452" s="20" t="str">
        <f t="shared" si="30"/>
        <v/>
      </c>
      <c r="F452" s="20" t="str">
        <f>IF(A452="","",IF(Calculator!C12="Beginning of Period",MAX(0,(B452-IF(J452="IO",Calculator!C22,Calculator!C21))*Calculator!C17),B452*Calculator!C17))</f>
        <v/>
      </c>
      <c r="G452" s="20" t="str">
        <f t="shared" si="31"/>
        <v/>
      </c>
      <c r="H452" s="20" t="str">
        <f t="shared" si="32"/>
        <v/>
      </c>
      <c r="I452" s="20" t="str">
        <f t="shared" si="34"/>
        <v/>
      </c>
      <c r="J452" s="21" t="str">
        <f>IF(A452="","",IF(A452&lt;=Calculator!C19,"IO","P&amp;I"))</f>
        <v/>
      </c>
    </row>
    <row r="453" spans="1:10" ht="15.75" customHeight="1" x14ac:dyDescent="0.25">
      <c r="A453" s="22" t="str">
        <f>IF(442&lt;=Calculator!C18,442,"")</f>
        <v/>
      </c>
      <c r="B453" s="23" t="str">
        <f t="shared" si="33"/>
        <v/>
      </c>
      <c r="C453" s="23" t="str">
        <f>IF(A453="","",IF(J453="IO",Calculator!C22,IF(B453&gt;0,MIN(Calculator!C21,B453*(1+Calculator!C17)),0)))</f>
        <v/>
      </c>
      <c r="D453" s="23" t="str">
        <f>IF(A453="","",IF(AND(J453="P&amp;I",A453&gt;=Calculator!C9),MIN(Calculator!C8,MAX(0,B453-C453+F453)),0))</f>
        <v/>
      </c>
      <c r="E453" s="23" t="str">
        <f t="shared" si="30"/>
        <v/>
      </c>
      <c r="F453" s="23" t="str">
        <f>IF(A453="","",IF(Calculator!C12="Beginning of Period",MAX(0,(B453-IF(J453="IO",Calculator!C22,Calculator!C21))*Calculator!C17),B453*Calculator!C17))</f>
        <v/>
      </c>
      <c r="G453" s="23" t="str">
        <f t="shared" si="31"/>
        <v/>
      </c>
      <c r="H453" s="23" t="str">
        <f t="shared" si="32"/>
        <v/>
      </c>
      <c r="I453" s="23" t="str">
        <f t="shared" si="34"/>
        <v/>
      </c>
      <c r="J453" s="24" t="str">
        <f>IF(A453="","",IF(A453&lt;=Calculator!C19,"IO","P&amp;I"))</f>
        <v/>
      </c>
    </row>
    <row r="454" spans="1:10" ht="15.75" customHeight="1" x14ac:dyDescent="0.25">
      <c r="A454" s="19" t="str">
        <f>IF(443&lt;=Calculator!C18,443,"")</f>
        <v/>
      </c>
      <c r="B454" s="20" t="str">
        <f t="shared" si="33"/>
        <v/>
      </c>
      <c r="C454" s="20" t="str">
        <f>IF(A454="","",IF(J454="IO",Calculator!C22,IF(B454&gt;0,MIN(Calculator!C21,B454*(1+Calculator!C17)),0)))</f>
        <v/>
      </c>
      <c r="D454" s="20" t="str">
        <f>IF(A454="","",IF(AND(J454="P&amp;I",A454&gt;=Calculator!C9),MIN(Calculator!C8,MAX(0,B454-C454+F454)),0))</f>
        <v/>
      </c>
      <c r="E454" s="20" t="str">
        <f t="shared" si="30"/>
        <v/>
      </c>
      <c r="F454" s="20" t="str">
        <f>IF(A454="","",IF(Calculator!C12="Beginning of Period",MAX(0,(B454-IF(J454="IO",Calculator!C22,Calculator!C21))*Calculator!C17),B454*Calculator!C17))</f>
        <v/>
      </c>
      <c r="G454" s="20" t="str">
        <f t="shared" si="31"/>
        <v/>
      </c>
      <c r="H454" s="20" t="str">
        <f t="shared" si="32"/>
        <v/>
      </c>
      <c r="I454" s="20" t="str">
        <f t="shared" si="34"/>
        <v/>
      </c>
      <c r="J454" s="21" t="str">
        <f>IF(A454="","",IF(A454&lt;=Calculator!C19,"IO","P&amp;I"))</f>
        <v/>
      </c>
    </row>
    <row r="455" spans="1:10" ht="15.75" customHeight="1" x14ac:dyDescent="0.25">
      <c r="A455" s="22" t="str">
        <f>IF(444&lt;=Calculator!C18,444,"")</f>
        <v/>
      </c>
      <c r="B455" s="23" t="str">
        <f t="shared" si="33"/>
        <v/>
      </c>
      <c r="C455" s="23" t="str">
        <f>IF(A455="","",IF(J455="IO",Calculator!C22,IF(B455&gt;0,MIN(Calculator!C21,B455*(1+Calculator!C17)),0)))</f>
        <v/>
      </c>
      <c r="D455" s="23" t="str">
        <f>IF(A455="","",IF(AND(J455="P&amp;I",A455&gt;=Calculator!C9),MIN(Calculator!C8,MAX(0,B455-C455+F455)),0))</f>
        <v/>
      </c>
      <c r="E455" s="23" t="str">
        <f t="shared" si="30"/>
        <v/>
      </c>
      <c r="F455" s="23" t="str">
        <f>IF(A455="","",IF(Calculator!C12="Beginning of Period",MAX(0,(B455-IF(J455="IO",Calculator!C22,Calculator!C21))*Calculator!C17),B455*Calculator!C17))</f>
        <v/>
      </c>
      <c r="G455" s="23" t="str">
        <f t="shared" si="31"/>
        <v/>
      </c>
      <c r="H455" s="23" t="str">
        <f t="shared" si="32"/>
        <v/>
      </c>
      <c r="I455" s="23" t="str">
        <f t="shared" si="34"/>
        <v/>
      </c>
      <c r="J455" s="24" t="str">
        <f>IF(A455="","",IF(A455&lt;=Calculator!C19,"IO","P&amp;I"))</f>
        <v/>
      </c>
    </row>
    <row r="456" spans="1:10" ht="15.75" customHeight="1" x14ac:dyDescent="0.25">
      <c r="A456" s="19" t="str">
        <f>IF(445&lt;=Calculator!C18,445,"")</f>
        <v/>
      </c>
      <c r="B456" s="20" t="str">
        <f t="shared" si="33"/>
        <v/>
      </c>
      <c r="C456" s="20" t="str">
        <f>IF(A456="","",IF(J456="IO",Calculator!C22,IF(B456&gt;0,MIN(Calculator!C21,B456*(1+Calculator!C17)),0)))</f>
        <v/>
      </c>
      <c r="D456" s="20" t="str">
        <f>IF(A456="","",IF(AND(J456="P&amp;I",A456&gt;=Calculator!C9),MIN(Calculator!C8,MAX(0,B456-C456+F456)),0))</f>
        <v/>
      </c>
      <c r="E456" s="20" t="str">
        <f t="shared" si="30"/>
        <v/>
      </c>
      <c r="F456" s="20" t="str">
        <f>IF(A456="","",IF(Calculator!C12="Beginning of Period",MAX(0,(B456-IF(J456="IO",Calculator!C22,Calculator!C21))*Calculator!C17),B456*Calculator!C17))</f>
        <v/>
      </c>
      <c r="G456" s="20" t="str">
        <f t="shared" si="31"/>
        <v/>
      </c>
      <c r="H456" s="20" t="str">
        <f t="shared" si="32"/>
        <v/>
      </c>
      <c r="I456" s="20" t="str">
        <f t="shared" si="34"/>
        <v/>
      </c>
      <c r="J456" s="21" t="str">
        <f>IF(A456="","",IF(A456&lt;=Calculator!C19,"IO","P&amp;I"))</f>
        <v/>
      </c>
    </row>
    <row r="457" spans="1:10" ht="15.75" customHeight="1" x14ac:dyDescent="0.25">
      <c r="A457" s="22" t="str">
        <f>IF(446&lt;=Calculator!C18,446,"")</f>
        <v/>
      </c>
      <c r="B457" s="23" t="str">
        <f t="shared" si="33"/>
        <v/>
      </c>
      <c r="C457" s="23" t="str">
        <f>IF(A457="","",IF(J457="IO",Calculator!C22,IF(B457&gt;0,MIN(Calculator!C21,B457*(1+Calculator!C17)),0)))</f>
        <v/>
      </c>
      <c r="D457" s="23" t="str">
        <f>IF(A457="","",IF(AND(J457="P&amp;I",A457&gt;=Calculator!C9),MIN(Calculator!C8,MAX(0,B457-C457+F457)),0))</f>
        <v/>
      </c>
      <c r="E457" s="23" t="str">
        <f t="shared" si="30"/>
        <v/>
      </c>
      <c r="F457" s="23" t="str">
        <f>IF(A457="","",IF(Calculator!C12="Beginning of Period",MAX(0,(B457-IF(J457="IO",Calculator!C22,Calculator!C21))*Calculator!C17),B457*Calculator!C17))</f>
        <v/>
      </c>
      <c r="G457" s="23" t="str">
        <f t="shared" si="31"/>
        <v/>
      </c>
      <c r="H457" s="23" t="str">
        <f t="shared" si="32"/>
        <v/>
      </c>
      <c r="I457" s="23" t="str">
        <f t="shared" si="34"/>
        <v/>
      </c>
      <c r="J457" s="24" t="str">
        <f>IF(A457="","",IF(A457&lt;=Calculator!C19,"IO","P&amp;I"))</f>
        <v/>
      </c>
    </row>
    <row r="458" spans="1:10" ht="15.75" customHeight="1" x14ac:dyDescent="0.25">
      <c r="A458" s="19" t="str">
        <f>IF(447&lt;=Calculator!C18,447,"")</f>
        <v/>
      </c>
      <c r="B458" s="20" t="str">
        <f t="shared" si="33"/>
        <v/>
      </c>
      <c r="C458" s="20" t="str">
        <f>IF(A458="","",IF(J458="IO",Calculator!C22,IF(B458&gt;0,MIN(Calculator!C21,B458*(1+Calculator!C17)),0)))</f>
        <v/>
      </c>
      <c r="D458" s="20" t="str">
        <f>IF(A458="","",IF(AND(J458="P&amp;I",A458&gt;=Calculator!C9),MIN(Calculator!C8,MAX(0,B458-C458+F458)),0))</f>
        <v/>
      </c>
      <c r="E458" s="20" t="str">
        <f t="shared" si="30"/>
        <v/>
      </c>
      <c r="F458" s="20" t="str">
        <f>IF(A458="","",IF(Calculator!C12="Beginning of Period",MAX(0,(B458-IF(J458="IO",Calculator!C22,Calculator!C21))*Calculator!C17),B458*Calculator!C17))</f>
        <v/>
      </c>
      <c r="G458" s="20" t="str">
        <f t="shared" si="31"/>
        <v/>
      </c>
      <c r="H458" s="20" t="str">
        <f t="shared" si="32"/>
        <v/>
      </c>
      <c r="I458" s="20" t="str">
        <f t="shared" si="34"/>
        <v/>
      </c>
      <c r="J458" s="21" t="str">
        <f>IF(A458="","",IF(A458&lt;=Calculator!C19,"IO","P&amp;I"))</f>
        <v/>
      </c>
    </row>
    <row r="459" spans="1:10" ht="15.75" customHeight="1" x14ac:dyDescent="0.25">
      <c r="A459" s="22" t="str">
        <f>IF(448&lt;=Calculator!C18,448,"")</f>
        <v/>
      </c>
      <c r="B459" s="23" t="str">
        <f t="shared" si="33"/>
        <v/>
      </c>
      <c r="C459" s="23" t="str">
        <f>IF(A459="","",IF(J459="IO",Calculator!C22,IF(B459&gt;0,MIN(Calculator!C21,B459*(1+Calculator!C17)),0)))</f>
        <v/>
      </c>
      <c r="D459" s="23" t="str">
        <f>IF(A459="","",IF(AND(J459="P&amp;I",A459&gt;=Calculator!C9),MIN(Calculator!C8,MAX(0,B459-C459+F459)),0))</f>
        <v/>
      </c>
      <c r="E459" s="23" t="str">
        <f t="shared" si="30"/>
        <v/>
      </c>
      <c r="F459" s="23" t="str">
        <f>IF(A459="","",IF(Calculator!C12="Beginning of Period",MAX(0,(B459-IF(J459="IO",Calculator!C22,Calculator!C21))*Calculator!C17),B459*Calculator!C17))</f>
        <v/>
      </c>
      <c r="G459" s="23" t="str">
        <f t="shared" si="31"/>
        <v/>
      </c>
      <c r="H459" s="23" t="str">
        <f t="shared" si="32"/>
        <v/>
      </c>
      <c r="I459" s="23" t="str">
        <f t="shared" si="34"/>
        <v/>
      </c>
      <c r="J459" s="24" t="str">
        <f>IF(A459="","",IF(A459&lt;=Calculator!C19,"IO","P&amp;I"))</f>
        <v/>
      </c>
    </row>
    <row r="460" spans="1:10" ht="15.75" customHeight="1" x14ac:dyDescent="0.25">
      <c r="A460" s="19" t="str">
        <f>IF(449&lt;=Calculator!C18,449,"")</f>
        <v/>
      </c>
      <c r="B460" s="20" t="str">
        <f t="shared" si="33"/>
        <v/>
      </c>
      <c r="C460" s="20" t="str">
        <f>IF(A460="","",IF(J460="IO",Calculator!C22,IF(B460&gt;0,MIN(Calculator!C21,B460*(1+Calculator!C17)),0)))</f>
        <v/>
      </c>
      <c r="D460" s="20" t="str">
        <f>IF(A460="","",IF(AND(J460="P&amp;I",A460&gt;=Calculator!C9),MIN(Calculator!C8,MAX(0,B460-C460+F460)),0))</f>
        <v/>
      </c>
      <c r="E460" s="20" t="str">
        <f t="shared" ref="E460:E491" si="35">IF(A460="","",C460+D460)</f>
        <v/>
      </c>
      <c r="F460" s="20" t="str">
        <f>IF(A460="","",IF(Calculator!C12="Beginning of Period",MAX(0,(B460-IF(J460="IO",Calculator!C22,Calculator!C21))*Calculator!C17),B460*Calculator!C17))</f>
        <v/>
      </c>
      <c r="G460" s="20" t="str">
        <f t="shared" ref="G460:G491" si="36">IF(A460="","",IF(J460="IO",0,MAX(0,C460-F460)))</f>
        <v/>
      </c>
      <c r="H460" s="20" t="str">
        <f t="shared" ref="H460:H491" si="37">IF(A460="","",MAX(0,B460-G460-D460))</f>
        <v/>
      </c>
      <c r="I460" s="20" t="str">
        <f t="shared" si="34"/>
        <v/>
      </c>
      <c r="J460" s="21" t="str">
        <f>IF(A460="","",IF(A460&lt;=Calculator!C19,"IO","P&amp;I"))</f>
        <v/>
      </c>
    </row>
    <row r="461" spans="1:10" ht="15.75" customHeight="1" x14ac:dyDescent="0.25">
      <c r="A461" s="22" t="str">
        <f>IF(450&lt;=Calculator!C18,450,"")</f>
        <v/>
      </c>
      <c r="B461" s="23" t="str">
        <f t="shared" ref="B461:B491" si="38">IF(A461="","",H460)</f>
        <v/>
      </c>
      <c r="C461" s="23" t="str">
        <f>IF(A461="","",IF(J461="IO",Calculator!C22,IF(B461&gt;0,MIN(Calculator!C21,B461*(1+Calculator!C17)),0)))</f>
        <v/>
      </c>
      <c r="D461" s="23" t="str">
        <f>IF(A461="","",IF(AND(J461="P&amp;I",A461&gt;=Calculator!C9),MIN(Calculator!C8,MAX(0,B461-C461+F461)),0))</f>
        <v/>
      </c>
      <c r="E461" s="23" t="str">
        <f t="shared" si="35"/>
        <v/>
      </c>
      <c r="F461" s="23" t="str">
        <f>IF(A461="","",IF(Calculator!C12="Beginning of Period",MAX(0,(B461-IF(J461="IO",Calculator!C22,Calculator!C21))*Calculator!C17),B461*Calculator!C17))</f>
        <v/>
      </c>
      <c r="G461" s="23" t="str">
        <f t="shared" si="36"/>
        <v/>
      </c>
      <c r="H461" s="23" t="str">
        <f t="shared" si="37"/>
        <v/>
      </c>
      <c r="I461" s="23" t="str">
        <f t="shared" ref="I461:I491" si="39">IF(A461="","",I460+F461)</f>
        <v/>
      </c>
      <c r="J461" s="24" t="str">
        <f>IF(A461="","",IF(A461&lt;=Calculator!C19,"IO","P&amp;I"))</f>
        <v/>
      </c>
    </row>
    <row r="462" spans="1:10" ht="15.75" customHeight="1" x14ac:dyDescent="0.25">
      <c r="A462" s="19" t="str">
        <f>IF(451&lt;=Calculator!C18,451,"")</f>
        <v/>
      </c>
      <c r="B462" s="20" t="str">
        <f t="shared" si="38"/>
        <v/>
      </c>
      <c r="C462" s="20" t="str">
        <f>IF(A462="","",IF(J462="IO",Calculator!C22,IF(B462&gt;0,MIN(Calculator!C21,B462*(1+Calculator!C17)),0)))</f>
        <v/>
      </c>
      <c r="D462" s="20" t="str">
        <f>IF(A462="","",IF(AND(J462="P&amp;I",A462&gt;=Calculator!C9),MIN(Calculator!C8,MAX(0,B462-C462+F462)),0))</f>
        <v/>
      </c>
      <c r="E462" s="20" t="str">
        <f t="shared" si="35"/>
        <v/>
      </c>
      <c r="F462" s="20" t="str">
        <f>IF(A462="","",IF(Calculator!C12="Beginning of Period",MAX(0,(B462-IF(J462="IO",Calculator!C22,Calculator!C21))*Calculator!C17),B462*Calculator!C17))</f>
        <v/>
      </c>
      <c r="G462" s="20" t="str">
        <f t="shared" si="36"/>
        <v/>
      </c>
      <c r="H462" s="20" t="str">
        <f t="shared" si="37"/>
        <v/>
      </c>
      <c r="I462" s="20" t="str">
        <f t="shared" si="39"/>
        <v/>
      </c>
      <c r="J462" s="21" t="str">
        <f>IF(A462="","",IF(A462&lt;=Calculator!C19,"IO","P&amp;I"))</f>
        <v/>
      </c>
    </row>
    <row r="463" spans="1:10" ht="15.75" customHeight="1" x14ac:dyDescent="0.25">
      <c r="A463" s="22" t="str">
        <f>IF(452&lt;=Calculator!C18,452,"")</f>
        <v/>
      </c>
      <c r="B463" s="23" t="str">
        <f t="shared" si="38"/>
        <v/>
      </c>
      <c r="C463" s="23" t="str">
        <f>IF(A463="","",IF(J463="IO",Calculator!C22,IF(B463&gt;0,MIN(Calculator!C21,B463*(1+Calculator!C17)),0)))</f>
        <v/>
      </c>
      <c r="D463" s="23" t="str">
        <f>IF(A463="","",IF(AND(J463="P&amp;I",A463&gt;=Calculator!C9),MIN(Calculator!C8,MAX(0,B463-C463+F463)),0))</f>
        <v/>
      </c>
      <c r="E463" s="23" t="str">
        <f t="shared" si="35"/>
        <v/>
      </c>
      <c r="F463" s="23" t="str">
        <f>IF(A463="","",IF(Calculator!C12="Beginning of Period",MAX(0,(B463-IF(J463="IO",Calculator!C22,Calculator!C21))*Calculator!C17),B463*Calculator!C17))</f>
        <v/>
      </c>
      <c r="G463" s="23" t="str">
        <f t="shared" si="36"/>
        <v/>
      </c>
      <c r="H463" s="23" t="str">
        <f t="shared" si="37"/>
        <v/>
      </c>
      <c r="I463" s="23" t="str">
        <f t="shared" si="39"/>
        <v/>
      </c>
      <c r="J463" s="24" t="str">
        <f>IF(A463="","",IF(A463&lt;=Calculator!C19,"IO","P&amp;I"))</f>
        <v/>
      </c>
    </row>
    <row r="464" spans="1:10" ht="15.75" customHeight="1" x14ac:dyDescent="0.25">
      <c r="A464" s="19" t="str">
        <f>IF(453&lt;=Calculator!C18,453,"")</f>
        <v/>
      </c>
      <c r="B464" s="20" t="str">
        <f t="shared" si="38"/>
        <v/>
      </c>
      <c r="C464" s="20" t="str">
        <f>IF(A464="","",IF(J464="IO",Calculator!C22,IF(B464&gt;0,MIN(Calculator!C21,B464*(1+Calculator!C17)),0)))</f>
        <v/>
      </c>
      <c r="D464" s="20" t="str">
        <f>IF(A464="","",IF(AND(J464="P&amp;I",A464&gt;=Calculator!C9),MIN(Calculator!C8,MAX(0,B464-C464+F464)),0))</f>
        <v/>
      </c>
      <c r="E464" s="20" t="str">
        <f t="shared" si="35"/>
        <v/>
      </c>
      <c r="F464" s="20" t="str">
        <f>IF(A464="","",IF(Calculator!C12="Beginning of Period",MAX(0,(B464-IF(J464="IO",Calculator!C22,Calculator!C21))*Calculator!C17),B464*Calculator!C17))</f>
        <v/>
      </c>
      <c r="G464" s="20" t="str">
        <f t="shared" si="36"/>
        <v/>
      </c>
      <c r="H464" s="20" t="str">
        <f t="shared" si="37"/>
        <v/>
      </c>
      <c r="I464" s="20" t="str">
        <f t="shared" si="39"/>
        <v/>
      </c>
      <c r="J464" s="21" t="str">
        <f>IF(A464="","",IF(A464&lt;=Calculator!C19,"IO","P&amp;I"))</f>
        <v/>
      </c>
    </row>
    <row r="465" spans="1:10" ht="15.75" customHeight="1" x14ac:dyDescent="0.25">
      <c r="A465" s="22" t="str">
        <f>IF(454&lt;=Calculator!C18,454,"")</f>
        <v/>
      </c>
      <c r="B465" s="23" t="str">
        <f t="shared" si="38"/>
        <v/>
      </c>
      <c r="C465" s="23" t="str">
        <f>IF(A465="","",IF(J465="IO",Calculator!C22,IF(B465&gt;0,MIN(Calculator!C21,B465*(1+Calculator!C17)),0)))</f>
        <v/>
      </c>
      <c r="D465" s="23" t="str">
        <f>IF(A465="","",IF(AND(J465="P&amp;I",A465&gt;=Calculator!C9),MIN(Calculator!C8,MAX(0,B465-C465+F465)),0))</f>
        <v/>
      </c>
      <c r="E465" s="23" t="str">
        <f t="shared" si="35"/>
        <v/>
      </c>
      <c r="F465" s="23" t="str">
        <f>IF(A465="","",IF(Calculator!C12="Beginning of Period",MAX(0,(B465-IF(J465="IO",Calculator!C22,Calculator!C21))*Calculator!C17),B465*Calculator!C17))</f>
        <v/>
      </c>
      <c r="G465" s="23" t="str">
        <f t="shared" si="36"/>
        <v/>
      </c>
      <c r="H465" s="23" t="str">
        <f t="shared" si="37"/>
        <v/>
      </c>
      <c r="I465" s="23" t="str">
        <f t="shared" si="39"/>
        <v/>
      </c>
      <c r="J465" s="24" t="str">
        <f>IF(A465="","",IF(A465&lt;=Calculator!C19,"IO","P&amp;I"))</f>
        <v/>
      </c>
    </row>
    <row r="466" spans="1:10" ht="15.75" customHeight="1" x14ac:dyDescent="0.25">
      <c r="A466" s="19" t="str">
        <f>IF(455&lt;=Calculator!C18,455,"")</f>
        <v/>
      </c>
      <c r="B466" s="20" t="str">
        <f t="shared" si="38"/>
        <v/>
      </c>
      <c r="C466" s="20" t="str">
        <f>IF(A466="","",IF(J466="IO",Calculator!C22,IF(B466&gt;0,MIN(Calculator!C21,B466*(1+Calculator!C17)),0)))</f>
        <v/>
      </c>
      <c r="D466" s="20" t="str">
        <f>IF(A466="","",IF(AND(J466="P&amp;I",A466&gt;=Calculator!C9),MIN(Calculator!C8,MAX(0,B466-C466+F466)),0))</f>
        <v/>
      </c>
      <c r="E466" s="20" t="str">
        <f t="shared" si="35"/>
        <v/>
      </c>
      <c r="F466" s="20" t="str">
        <f>IF(A466="","",IF(Calculator!C12="Beginning of Period",MAX(0,(B466-IF(J466="IO",Calculator!C22,Calculator!C21))*Calculator!C17),B466*Calculator!C17))</f>
        <v/>
      </c>
      <c r="G466" s="20" t="str">
        <f t="shared" si="36"/>
        <v/>
      </c>
      <c r="H466" s="20" t="str">
        <f t="shared" si="37"/>
        <v/>
      </c>
      <c r="I466" s="20" t="str">
        <f t="shared" si="39"/>
        <v/>
      </c>
      <c r="J466" s="21" t="str">
        <f>IF(A466="","",IF(A466&lt;=Calculator!C19,"IO","P&amp;I"))</f>
        <v/>
      </c>
    </row>
    <row r="467" spans="1:10" ht="15.75" customHeight="1" x14ac:dyDescent="0.25">
      <c r="A467" s="22" t="str">
        <f>IF(456&lt;=Calculator!C18,456,"")</f>
        <v/>
      </c>
      <c r="B467" s="23" t="str">
        <f t="shared" si="38"/>
        <v/>
      </c>
      <c r="C467" s="23" t="str">
        <f>IF(A467="","",IF(J467="IO",Calculator!C22,IF(B467&gt;0,MIN(Calculator!C21,B467*(1+Calculator!C17)),0)))</f>
        <v/>
      </c>
      <c r="D467" s="23" t="str">
        <f>IF(A467="","",IF(AND(J467="P&amp;I",A467&gt;=Calculator!C9),MIN(Calculator!C8,MAX(0,B467-C467+F467)),0))</f>
        <v/>
      </c>
      <c r="E467" s="23" t="str">
        <f t="shared" si="35"/>
        <v/>
      </c>
      <c r="F467" s="23" t="str">
        <f>IF(A467="","",IF(Calculator!C12="Beginning of Period",MAX(0,(B467-IF(J467="IO",Calculator!C22,Calculator!C21))*Calculator!C17),B467*Calculator!C17))</f>
        <v/>
      </c>
      <c r="G467" s="23" t="str">
        <f t="shared" si="36"/>
        <v/>
      </c>
      <c r="H467" s="23" t="str">
        <f t="shared" si="37"/>
        <v/>
      </c>
      <c r="I467" s="23" t="str">
        <f t="shared" si="39"/>
        <v/>
      </c>
      <c r="J467" s="24" t="str">
        <f>IF(A467="","",IF(A467&lt;=Calculator!C19,"IO","P&amp;I"))</f>
        <v/>
      </c>
    </row>
    <row r="468" spans="1:10" ht="15.75" customHeight="1" x14ac:dyDescent="0.25">
      <c r="A468" s="19" t="str">
        <f>IF(457&lt;=Calculator!C18,457,"")</f>
        <v/>
      </c>
      <c r="B468" s="20" t="str">
        <f t="shared" si="38"/>
        <v/>
      </c>
      <c r="C468" s="20" t="str">
        <f>IF(A468="","",IF(J468="IO",Calculator!C22,IF(B468&gt;0,MIN(Calculator!C21,B468*(1+Calculator!C17)),0)))</f>
        <v/>
      </c>
      <c r="D468" s="20" t="str">
        <f>IF(A468="","",IF(AND(J468="P&amp;I",A468&gt;=Calculator!C9),MIN(Calculator!C8,MAX(0,B468-C468+F468)),0))</f>
        <v/>
      </c>
      <c r="E468" s="20" t="str">
        <f t="shared" si="35"/>
        <v/>
      </c>
      <c r="F468" s="20" t="str">
        <f>IF(A468="","",IF(Calculator!C12="Beginning of Period",MAX(0,(B468-IF(J468="IO",Calculator!C22,Calculator!C21))*Calculator!C17),B468*Calculator!C17))</f>
        <v/>
      </c>
      <c r="G468" s="20" t="str">
        <f t="shared" si="36"/>
        <v/>
      </c>
      <c r="H468" s="20" t="str">
        <f t="shared" si="37"/>
        <v/>
      </c>
      <c r="I468" s="20" t="str">
        <f t="shared" si="39"/>
        <v/>
      </c>
      <c r="J468" s="21" t="str">
        <f>IF(A468="","",IF(A468&lt;=Calculator!C19,"IO","P&amp;I"))</f>
        <v/>
      </c>
    </row>
    <row r="469" spans="1:10" ht="15.75" customHeight="1" x14ac:dyDescent="0.25">
      <c r="A469" s="22" t="str">
        <f>IF(458&lt;=Calculator!C18,458,"")</f>
        <v/>
      </c>
      <c r="B469" s="23" t="str">
        <f t="shared" si="38"/>
        <v/>
      </c>
      <c r="C469" s="23" t="str">
        <f>IF(A469="","",IF(J469="IO",Calculator!C22,IF(B469&gt;0,MIN(Calculator!C21,B469*(1+Calculator!C17)),0)))</f>
        <v/>
      </c>
      <c r="D469" s="23" t="str">
        <f>IF(A469="","",IF(AND(J469="P&amp;I",A469&gt;=Calculator!C9),MIN(Calculator!C8,MAX(0,B469-C469+F469)),0))</f>
        <v/>
      </c>
      <c r="E469" s="23" t="str">
        <f t="shared" si="35"/>
        <v/>
      </c>
      <c r="F469" s="23" t="str">
        <f>IF(A469="","",IF(Calculator!C12="Beginning of Period",MAX(0,(B469-IF(J469="IO",Calculator!C22,Calculator!C21))*Calculator!C17),B469*Calculator!C17))</f>
        <v/>
      </c>
      <c r="G469" s="23" t="str">
        <f t="shared" si="36"/>
        <v/>
      </c>
      <c r="H469" s="23" t="str">
        <f t="shared" si="37"/>
        <v/>
      </c>
      <c r="I469" s="23" t="str">
        <f t="shared" si="39"/>
        <v/>
      </c>
      <c r="J469" s="24" t="str">
        <f>IF(A469="","",IF(A469&lt;=Calculator!C19,"IO","P&amp;I"))</f>
        <v/>
      </c>
    </row>
    <row r="470" spans="1:10" ht="15.75" customHeight="1" x14ac:dyDescent="0.25">
      <c r="A470" s="19" t="str">
        <f>IF(459&lt;=Calculator!C18,459,"")</f>
        <v/>
      </c>
      <c r="B470" s="20" t="str">
        <f t="shared" si="38"/>
        <v/>
      </c>
      <c r="C470" s="20" t="str">
        <f>IF(A470="","",IF(J470="IO",Calculator!C22,IF(B470&gt;0,MIN(Calculator!C21,B470*(1+Calculator!C17)),0)))</f>
        <v/>
      </c>
      <c r="D470" s="20" t="str">
        <f>IF(A470="","",IF(AND(J470="P&amp;I",A470&gt;=Calculator!C9),MIN(Calculator!C8,MAX(0,B470-C470+F470)),0))</f>
        <v/>
      </c>
      <c r="E470" s="20" t="str">
        <f t="shared" si="35"/>
        <v/>
      </c>
      <c r="F470" s="20" t="str">
        <f>IF(A470="","",IF(Calculator!C12="Beginning of Period",MAX(0,(B470-IF(J470="IO",Calculator!C22,Calculator!C21))*Calculator!C17),B470*Calculator!C17))</f>
        <v/>
      </c>
      <c r="G470" s="20" t="str">
        <f t="shared" si="36"/>
        <v/>
      </c>
      <c r="H470" s="20" t="str">
        <f t="shared" si="37"/>
        <v/>
      </c>
      <c r="I470" s="20" t="str">
        <f t="shared" si="39"/>
        <v/>
      </c>
      <c r="J470" s="21" t="str">
        <f>IF(A470="","",IF(A470&lt;=Calculator!C19,"IO","P&amp;I"))</f>
        <v/>
      </c>
    </row>
    <row r="471" spans="1:10" ht="15.75" customHeight="1" x14ac:dyDescent="0.25">
      <c r="A471" s="22" t="str">
        <f>IF(460&lt;=Calculator!C18,460,"")</f>
        <v/>
      </c>
      <c r="B471" s="23" t="str">
        <f t="shared" si="38"/>
        <v/>
      </c>
      <c r="C471" s="23" t="str">
        <f>IF(A471="","",IF(J471="IO",Calculator!C22,IF(B471&gt;0,MIN(Calculator!C21,B471*(1+Calculator!C17)),0)))</f>
        <v/>
      </c>
      <c r="D471" s="23" t="str">
        <f>IF(A471="","",IF(AND(J471="P&amp;I",A471&gt;=Calculator!C9),MIN(Calculator!C8,MAX(0,B471-C471+F471)),0))</f>
        <v/>
      </c>
      <c r="E471" s="23" t="str">
        <f t="shared" si="35"/>
        <v/>
      </c>
      <c r="F471" s="23" t="str">
        <f>IF(A471="","",IF(Calculator!C12="Beginning of Period",MAX(0,(B471-IF(J471="IO",Calculator!C22,Calculator!C21))*Calculator!C17),B471*Calculator!C17))</f>
        <v/>
      </c>
      <c r="G471" s="23" t="str">
        <f t="shared" si="36"/>
        <v/>
      </c>
      <c r="H471" s="23" t="str">
        <f t="shared" si="37"/>
        <v/>
      </c>
      <c r="I471" s="23" t="str">
        <f t="shared" si="39"/>
        <v/>
      </c>
      <c r="J471" s="24" t="str">
        <f>IF(A471="","",IF(A471&lt;=Calculator!C19,"IO","P&amp;I"))</f>
        <v/>
      </c>
    </row>
    <row r="472" spans="1:10" ht="15.75" customHeight="1" x14ac:dyDescent="0.25">
      <c r="A472" s="19" t="str">
        <f>IF(461&lt;=Calculator!C18,461,"")</f>
        <v/>
      </c>
      <c r="B472" s="20" t="str">
        <f t="shared" si="38"/>
        <v/>
      </c>
      <c r="C472" s="20" t="str">
        <f>IF(A472="","",IF(J472="IO",Calculator!C22,IF(B472&gt;0,MIN(Calculator!C21,B472*(1+Calculator!C17)),0)))</f>
        <v/>
      </c>
      <c r="D472" s="20" t="str">
        <f>IF(A472="","",IF(AND(J472="P&amp;I",A472&gt;=Calculator!C9),MIN(Calculator!C8,MAX(0,B472-C472+F472)),0))</f>
        <v/>
      </c>
      <c r="E472" s="20" t="str">
        <f t="shared" si="35"/>
        <v/>
      </c>
      <c r="F472" s="20" t="str">
        <f>IF(A472="","",IF(Calculator!C12="Beginning of Period",MAX(0,(B472-IF(J472="IO",Calculator!C22,Calculator!C21))*Calculator!C17),B472*Calculator!C17))</f>
        <v/>
      </c>
      <c r="G472" s="20" t="str">
        <f t="shared" si="36"/>
        <v/>
      </c>
      <c r="H472" s="20" t="str">
        <f t="shared" si="37"/>
        <v/>
      </c>
      <c r="I472" s="20" t="str">
        <f t="shared" si="39"/>
        <v/>
      </c>
      <c r="J472" s="21" t="str">
        <f>IF(A472="","",IF(A472&lt;=Calculator!C19,"IO","P&amp;I"))</f>
        <v/>
      </c>
    </row>
    <row r="473" spans="1:10" ht="15.75" customHeight="1" x14ac:dyDescent="0.25">
      <c r="A473" s="22" t="str">
        <f>IF(462&lt;=Calculator!C18,462,"")</f>
        <v/>
      </c>
      <c r="B473" s="23" t="str">
        <f t="shared" si="38"/>
        <v/>
      </c>
      <c r="C473" s="23" t="str">
        <f>IF(A473="","",IF(J473="IO",Calculator!C22,IF(B473&gt;0,MIN(Calculator!C21,B473*(1+Calculator!C17)),0)))</f>
        <v/>
      </c>
      <c r="D473" s="23" t="str">
        <f>IF(A473="","",IF(AND(J473="P&amp;I",A473&gt;=Calculator!C9),MIN(Calculator!C8,MAX(0,B473-C473+F473)),0))</f>
        <v/>
      </c>
      <c r="E473" s="23" t="str">
        <f t="shared" si="35"/>
        <v/>
      </c>
      <c r="F473" s="23" t="str">
        <f>IF(A473="","",IF(Calculator!C12="Beginning of Period",MAX(0,(B473-IF(J473="IO",Calculator!C22,Calculator!C21))*Calculator!C17),B473*Calculator!C17))</f>
        <v/>
      </c>
      <c r="G473" s="23" t="str">
        <f t="shared" si="36"/>
        <v/>
      </c>
      <c r="H473" s="23" t="str">
        <f t="shared" si="37"/>
        <v/>
      </c>
      <c r="I473" s="23" t="str">
        <f t="shared" si="39"/>
        <v/>
      </c>
      <c r="J473" s="24" t="str">
        <f>IF(A473="","",IF(A473&lt;=Calculator!C19,"IO","P&amp;I"))</f>
        <v/>
      </c>
    </row>
    <row r="474" spans="1:10" ht="15.75" customHeight="1" x14ac:dyDescent="0.25">
      <c r="A474" s="19" t="str">
        <f>IF(463&lt;=Calculator!C18,463,"")</f>
        <v/>
      </c>
      <c r="B474" s="20" t="str">
        <f t="shared" si="38"/>
        <v/>
      </c>
      <c r="C474" s="20" t="str">
        <f>IF(A474="","",IF(J474="IO",Calculator!C22,IF(B474&gt;0,MIN(Calculator!C21,B474*(1+Calculator!C17)),0)))</f>
        <v/>
      </c>
      <c r="D474" s="20" t="str">
        <f>IF(A474="","",IF(AND(J474="P&amp;I",A474&gt;=Calculator!C9),MIN(Calculator!C8,MAX(0,B474-C474+F474)),0))</f>
        <v/>
      </c>
      <c r="E474" s="20" t="str">
        <f t="shared" si="35"/>
        <v/>
      </c>
      <c r="F474" s="20" t="str">
        <f>IF(A474="","",IF(Calculator!C12="Beginning of Period",MAX(0,(B474-IF(J474="IO",Calculator!C22,Calculator!C21))*Calculator!C17),B474*Calculator!C17))</f>
        <v/>
      </c>
      <c r="G474" s="20" t="str">
        <f t="shared" si="36"/>
        <v/>
      </c>
      <c r="H474" s="20" t="str">
        <f t="shared" si="37"/>
        <v/>
      </c>
      <c r="I474" s="20" t="str">
        <f t="shared" si="39"/>
        <v/>
      </c>
      <c r="J474" s="21" t="str">
        <f>IF(A474="","",IF(A474&lt;=Calculator!C19,"IO","P&amp;I"))</f>
        <v/>
      </c>
    </row>
    <row r="475" spans="1:10" ht="15.75" customHeight="1" x14ac:dyDescent="0.25">
      <c r="A475" s="22" t="str">
        <f>IF(464&lt;=Calculator!C18,464,"")</f>
        <v/>
      </c>
      <c r="B475" s="23" t="str">
        <f t="shared" si="38"/>
        <v/>
      </c>
      <c r="C475" s="23" t="str">
        <f>IF(A475="","",IF(J475="IO",Calculator!C22,IF(B475&gt;0,MIN(Calculator!C21,B475*(1+Calculator!C17)),0)))</f>
        <v/>
      </c>
      <c r="D475" s="23" t="str">
        <f>IF(A475="","",IF(AND(J475="P&amp;I",A475&gt;=Calculator!C9),MIN(Calculator!C8,MAX(0,B475-C475+F475)),0))</f>
        <v/>
      </c>
      <c r="E475" s="23" t="str">
        <f t="shared" si="35"/>
        <v/>
      </c>
      <c r="F475" s="23" t="str">
        <f>IF(A475="","",IF(Calculator!C12="Beginning of Period",MAX(0,(B475-IF(J475="IO",Calculator!C22,Calculator!C21))*Calculator!C17),B475*Calculator!C17))</f>
        <v/>
      </c>
      <c r="G475" s="23" t="str">
        <f t="shared" si="36"/>
        <v/>
      </c>
      <c r="H475" s="23" t="str">
        <f t="shared" si="37"/>
        <v/>
      </c>
      <c r="I475" s="23" t="str">
        <f t="shared" si="39"/>
        <v/>
      </c>
      <c r="J475" s="24" t="str">
        <f>IF(A475="","",IF(A475&lt;=Calculator!C19,"IO","P&amp;I"))</f>
        <v/>
      </c>
    </row>
    <row r="476" spans="1:10" ht="15.75" customHeight="1" x14ac:dyDescent="0.25">
      <c r="A476" s="19" t="str">
        <f>IF(465&lt;=Calculator!C18,465,"")</f>
        <v/>
      </c>
      <c r="B476" s="20" t="str">
        <f t="shared" si="38"/>
        <v/>
      </c>
      <c r="C476" s="20" t="str">
        <f>IF(A476="","",IF(J476="IO",Calculator!C22,IF(B476&gt;0,MIN(Calculator!C21,B476*(1+Calculator!C17)),0)))</f>
        <v/>
      </c>
      <c r="D476" s="20" t="str">
        <f>IF(A476="","",IF(AND(J476="P&amp;I",A476&gt;=Calculator!C9),MIN(Calculator!C8,MAX(0,B476-C476+F476)),0))</f>
        <v/>
      </c>
      <c r="E476" s="20" t="str">
        <f t="shared" si="35"/>
        <v/>
      </c>
      <c r="F476" s="20" t="str">
        <f>IF(A476="","",IF(Calculator!C12="Beginning of Period",MAX(0,(B476-IF(J476="IO",Calculator!C22,Calculator!C21))*Calculator!C17),B476*Calculator!C17))</f>
        <v/>
      </c>
      <c r="G476" s="20" t="str">
        <f t="shared" si="36"/>
        <v/>
      </c>
      <c r="H476" s="20" t="str">
        <f t="shared" si="37"/>
        <v/>
      </c>
      <c r="I476" s="20" t="str">
        <f t="shared" si="39"/>
        <v/>
      </c>
      <c r="J476" s="21" t="str">
        <f>IF(A476="","",IF(A476&lt;=Calculator!C19,"IO","P&amp;I"))</f>
        <v/>
      </c>
    </row>
    <row r="477" spans="1:10" ht="15.75" customHeight="1" x14ac:dyDescent="0.25">
      <c r="A477" s="22" t="str">
        <f>IF(466&lt;=Calculator!C18,466,"")</f>
        <v/>
      </c>
      <c r="B477" s="23" t="str">
        <f t="shared" si="38"/>
        <v/>
      </c>
      <c r="C477" s="23" t="str">
        <f>IF(A477="","",IF(J477="IO",Calculator!C22,IF(B477&gt;0,MIN(Calculator!C21,B477*(1+Calculator!C17)),0)))</f>
        <v/>
      </c>
      <c r="D477" s="23" t="str">
        <f>IF(A477="","",IF(AND(J477="P&amp;I",A477&gt;=Calculator!C9),MIN(Calculator!C8,MAX(0,B477-C477+F477)),0))</f>
        <v/>
      </c>
      <c r="E477" s="23" t="str">
        <f t="shared" si="35"/>
        <v/>
      </c>
      <c r="F477" s="23" t="str">
        <f>IF(A477="","",IF(Calculator!C12="Beginning of Period",MAX(0,(B477-IF(J477="IO",Calculator!C22,Calculator!C21))*Calculator!C17),B477*Calculator!C17))</f>
        <v/>
      </c>
      <c r="G477" s="23" t="str">
        <f t="shared" si="36"/>
        <v/>
      </c>
      <c r="H477" s="23" t="str">
        <f t="shared" si="37"/>
        <v/>
      </c>
      <c r="I477" s="23" t="str">
        <f t="shared" si="39"/>
        <v/>
      </c>
      <c r="J477" s="24" t="str">
        <f>IF(A477="","",IF(A477&lt;=Calculator!C19,"IO","P&amp;I"))</f>
        <v/>
      </c>
    </row>
    <row r="478" spans="1:10" ht="15.75" customHeight="1" x14ac:dyDescent="0.25">
      <c r="A478" s="19" t="str">
        <f>IF(467&lt;=Calculator!C18,467,"")</f>
        <v/>
      </c>
      <c r="B478" s="20" t="str">
        <f t="shared" si="38"/>
        <v/>
      </c>
      <c r="C478" s="20" t="str">
        <f>IF(A478="","",IF(J478="IO",Calculator!C22,IF(B478&gt;0,MIN(Calculator!C21,B478*(1+Calculator!C17)),0)))</f>
        <v/>
      </c>
      <c r="D478" s="20" t="str">
        <f>IF(A478="","",IF(AND(J478="P&amp;I",A478&gt;=Calculator!C9),MIN(Calculator!C8,MAX(0,B478-C478+F478)),0))</f>
        <v/>
      </c>
      <c r="E478" s="20" t="str">
        <f t="shared" si="35"/>
        <v/>
      </c>
      <c r="F478" s="20" t="str">
        <f>IF(A478="","",IF(Calculator!C12="Beginning of Period",MAX(0,(B478-IF(J478="IO",Calculator!C22,Calculator!C21))*Calculator!C17),B478*Calculator!C17))</f>
        <v/>
      </c>
      <c r="G478" s="20" t="str">
        <f t="shared" si="36"/>
        <v/>
      </c>
      <c r="H478" s="20" t="str">
        <f t="shared" si="37"/>
        <v/>
      </c>
      <c r="I478" s="20" t="str">
        <f t="shared" si="39"/>
        <v/>
      </c>
      <c r="J478" s="21" t="str">
        <f>IF(A478="","",IF(A478&lt;=Calculator!C19,"IO","P&amp;I"))</f>
        <v/>
      </c>
    </row>
    <row r="479" spans="1:10" ht="15.75" customHeight="1" x14ac:dyDescent="0.25">
      <c r="A479" s="22" t="str">
        <f>IF(468&lt;=Calculator!C18,468,"")</f>
        <v/>
      </c>
      <c r="B479" s="23" t="str">
        <f t="shared" si="38"/>
        <v/>
      </c>
      <c r="C479" s="23" t="str">
        <f>IF(A479="","",IF(J479="IO",Calculator!C22,IF(B479&gt;0,MIN(Calculator!C21,B479*(1+Calculator!C17)),0)))</f>
        <v/>
      </c>
      <c r="D479" s="23" t="str">
        <f>IF(A479="","",IF(AND(J479="P&amp;I",A479&gt;=Calculator!C9),MIN(Calculator!C8,MAX(0,B479-C479+F479)),0))</f>
        <v/>
      </c>
      <c r="E479" s="23" t="str">
        <f t="shared" si="35"/>
        <v/>
      </c>
      <c r="F479" s="23" t="str">
        <f>IF(A479="","",IF(Calculator!C12="Beginning of Period",MAX(0,(B479-IF(J479="IO",Calculator!C22,Calculator!C21))*Calculator!C17),B479*Calculator!C17))</f>
        <v/>
      </c>
      <c r="G479" s="23" t="str">
        <f t="shared" si="36"/>
        <v/>
      </c>
      <c r="H479" s="23" t="str">
        <f t="shared" si="37"/>
        <v/>
      </c>
      <c r="I479" s="23" t="str">
        <f t="shared" si="39"/>
        <v/>
      </c>
      <c r="J479" s="24" t="str">
        <f>IF(A479="","",IF(A479&lt;=Calculator!C19,"IO","P&amp;I"))</f>
        <v/>
      </c>
    </row>
    <row r="480" spans="1:10" ht="15.75" customHeight="1" x14ac:dyDescent="0.25">
      <c r="A480" s="19" t="str">
        <f>IF(469&lt;=Calculator!C18,469,"")</f>
        <v/>
      </c>
      <c r="B480" s="20" t="str">
        <f t="shared" si="38"/>
        <v/>
      </c>
      <c r="C480" s="20" t="str">
        <f>IF(A480="","",IF(J480="IO",Calculator!C22,IF(B480&gt;0,MIN(Calculator!C21,B480*(1+Calculator!C17)),0)))</f>
        <v/>
      </c>
      <c r="D480" s="20" t="str">
        <f>IF(A480="","",IF(AND(J480="P&amp;I",A480&gt;=Calculator!C9),MIN(Calculator!C8,MAX(0,B480-C480+F480)),0))</f>
        <v/>
      </c>
      <c r="E480" s="20" t="str">
        <f t="shared" si="35"/>
        <v/>
      </c>
      <c r="F480" s="20" t="str">
        <f>IF(A480="","",IF(Calculator!C12="Beginning of Period",MAX(0,(B480-IF(J480="IO",Calculator!C22,Calculator!C21))*Calculator!C17),B480*Calculator!C17))</f>
        <v/>
      </c>
      <c r="G480" s="20" t="str">
        <f t="shared" si="36"/>
        <v/>
      </c>
      <c r="H480" s="20" t="str">
        <f t="shared" si="37"/>
        <v/>
      </c>
      <c r="I480" s="20" t="str">
        <f t="shared" si="39"/>
        <v/>
      </c>
      <c r="J480" s="21" t="str">
        <f>IF(A480="","",IF(A480&lt;=Calculator!C19,"IO","P&amp;I"))</f>
        <v/>
      </c>
    </row>
    <row r="481" spans="1:10" ht="15.75" customHeight="1" x14ac:dyDescent="0.25">
      <c r="A481" s="22" t="str">
        <f>IF(470&lt;=Calculator!C18,470,"")</f>
        <v/>
      </c>
      <c r="B481" s="23" t="str">
        <f t="shared" si="38"/>
        <v/>
      </c>
      <c r="C481" s="23" t="str">
        <f>IF(A481="","",IF(J481="IO",Calculator!C22,IF(B481&gt;0,MIN(Calculator!C21,B481*(1+Calculator!C17)),0)))</f>
        <v/>
      </c>
      <c r="D481" s="23" t="str">
        <f>IF(A481="","",IF(AND(J481="P&amp;I",A481&gt;=Calculator!C9),MIN(Calculator!C8,MAX(0,B481-C481+F481)),0))</f>
        <v/>
      </c>
      <c r="E481" s="23" t="str">
        <f t="shared" si="35"/>
        <v/>
      </c>
      <c r="F481" s="23" t="str">
        <f>IF(A481="","",IF(Calculator!C12="Beginning of Period",MAX(0,(B481-IF(J481="IO",Calculator!C22,Calculator!C21))*Calculator!C17),B481*Calculator!C17))</f>
        <v/>
      </c>
      <c r="G481" s="23" t="str">
        <f t="shared" si="36"/>
        <v/>
      </c>
      <c r="H481" s="23" t="str">
        <f t="shared" si="37"/>
        <v/>
      </c>
      <c r="I481" s="23" t="str">
        <f t="shared" si="39"/>
        <v/>
      </c>
      <c r="J481" s="24" t="str">
        <f>IF(A481="","",IF(A481&lt;=Calculator!C19,"IO","P&amp;I"))</f>
        <v/>
      </c>
    </row>
    <row r="482" spans="1:10" ht="15.75" customHeight="1" x14ac:dyDescent="0.25">
      <c r="A482" s="19" t="str">
        <f>IF(471&lt;=Calculator!C18,471,"")</f>
        <v/>
      </c>
      <c r="B482" s="20" t="str">
        <f t="shared" si="38"/>
        <v/>
      </c>
      <c r="C482" s="20" t="str">
        <f>IF(A482="","",IF(J482="IO",Calculator!C22,IF(B482&gt;0,MIN(Calculator!C21,B482*(1+Calculator!C17)),0)))</f>
        <v/>
      </c>
      <c r="D482" s="20" t="str">
        <f>IF(A482="","",IF(AND(J482="P&amp;I",A482&gt;=Calculator!C9),MIN(Calculator!C8,MAX(0,B482-C482+F482)),0))</f>
        <v/>
      </c>
      <c r="E482" s="20" t="str">
        <f t="shared" si="35"/>
        <v/>
      </c>
      <c r="F482" s="20" t="str">
        <f>IF(A482="","",IF(Calculator!C12="Beginning of Period",MAX(0,(B482-IF(J482="IO",Calculator!C22,Calculator!C21))*Calculator!C17),B482*Calculator!C17))</f>
        <v/>
      </c>
      <c r="G482" s="20" t="str">
        <f t="shared" si="36"/>
        <v/>
      </c>
      <c r="H482" s="20" t="str">
        <f t="shared" si="37"/>
        <v/>
      </c>
      <c r="I482" s="20" t="str">
        <f t="shared" si="39"/>
        <v/>
      </c>
      <c r="J482" s="21" t="str">
        <f>IF(A482="","",IF(A482&lt;=Calculator!C19,"IO","P&amp;I"))</f>
        <v/>
      </c>
    </row>
    <row r="483" spans="1:10" ht="15.75" customHeight="1" x14ac:dyDescent="0.25">
      <c r="A483" s="22" t="str">
        <f>IF(472&lt;=Calculator!C18,472,"")</f>
        <v/>
      </c>
      <c r="B483" s="23" t="str">
        <f t="shared" si="38"/>
        <v/>
      </c>
      <c r="C483" s="23" t="str">
        <f>IF(A483="","",IF(J483="IO",Calculator!C22,IF(B483&gt;0,MIN(Calculator!C21,B483*(1+Calculator!C17)),0)))</f>
        <v/>
      </c>
      <c r="D483" s="23" t="str">
        <f>IF(A483="","",IF(AND(J483="P&amp;I",A483&gt;=Calculator!C9),MIN(Calculator!C8,MAX(0,B483-C483+F483)),0))</f>
        <v/>
      </c>
      <c r="E483" s="23" t="str">
        <f t="shared" si="35"/>
        <v/>
      </c>
      <c r="F483" s="23" t="str">
        <f>IF(A483="","",IF(Calculator!C12="Beginning of Period",MAX(0,(B483-IF(J483="IO",Calculator!C22,Calculator!C21))*Calculator!C17),B483*Calculator!C17))</f>
        <v/>
      </c>
      <c r="G483" s="23" t="str">
        <f t="shared" si="36"/>
        <v/>
      </c>
      <c r="H483" s="23" t="str">
        <f t="shared" si="37"/>
        <v/>
      </c>
      <c r="I483" s="23" t="str">
        <f t="shared" si="39"/>
        <v/>
      </c>
      <c r="J483" s="24" t="str">
        <f>IF(A483="","",IF(A483&lt;=Calculator!C19,"IO","P&amp;I"))</f>
        <v/>
      </c>
    </row>
    <row r="484" spans="1:10" ht="15.75" customHeight="1" x14ac:dyDescent="0.25">
      <c r="A484" s="19" t="str">
        <f>IF(473&lt;=Calculator!C18,473,"")</f>
        <v/>
      </c>
      <c r="B484" s="20" t="str">
        <f t="shared" si="38"/>
        <v/>
      </c>
      <c r="C484" s="20" t="str">
        <f>IF(A484="","",IF(J484="IO",Calculator!C22,IF(B484&gt;0,MIN(Calculator!C21,B484*(1+Calculator!C17)),0)))</f>
        <v/>
      </c>
      <c r="D484" s="20" t="str">
        <f>IF(A484="","",IF(AND(J484="P&amp;I",A484&gt;=Calculator!C9),MIN(Calculator!C8,MAX(0,B484-C484+F484)),0))</f>
        <v/>
      </c>
      <c r="E484" s="20" t="str">
        <f t="shared" si="35"/>
        <v/>
      </c>
      <c r="F484" s="20" t="str">
        <f>IF(A484="","",IF(Calculator!C12="Beginning of Period",MAX(0,(B484-IF(J484="IO",Calculator!C22,Calculator!C21))*Calculator!C17),B484*Calculator!C17))</f>
        <v/>
      </c>
      <c r="G484" s="20" t="str">
        <f t="shared" si="36"/>
        <v/>
      </c>
      <c r="H484" s="20" t="str">
        <f t="shared" si="37"/>
        <v/>
      </c>
      <c r="I484" s="20" t="str">
        <f t="shared" si="39"/>
        <v/>
      </c>
      <c r="J484" s="21" t="str">
        <f>IF(A484="","",IF(A484&lt;=Calculator!C19,"IO","P&amp;I"))</f>
        <v/>
      </c>
    </row>
    <row r="485" spans="1:10" ht="15.75" customHeight="1" x14ac:dyDescent="0.25">
      <c r="A485" s="22" t="str">
        <f>IF(474&lt;=Calculator!C18,474,"")</f>
        <v/>
      </c>
      <c r="B485" s="23" t="str">
        <f t="shared" si="38"/>
        <v/>
      </c>
      <c r="C485" s="23" t="str">
        <f>IF(A485="","",IF(J485="IO",Calculator!C22,IF(B485&gt;0,MIN(Calculator!C21,B485*(1+Calculator!C17)),0)))</f>
        <v/>
      </c>
      <c r="D485" s="23" t="str">
        <f>IF(A485="","",IF(AND(J485="P&amp;I",A485&gt;=Calculator!C9),MIN(Calculator!C8,MAX(0,B485-C485+F485)),0))</f>
        <v/>
      </c>
      <c r="E485" s="23" t="str">
        <f t="shared" si="35"/>
        <v/>
      </c>
      <c r="F485" s="23" t="str">
        <f>IF(A485="","",IF(Calculator!C12="Beginning of Period",MAX(0,(B485-IF(J485="IO",Calculator!C22,Calculator!C21))*Calculator!C17),B485*Calculator!C17))</f>
        <v/>
      </c>
      <c r="G485" s="23" t="str">
        <f t="shared" si="36"/>
        <v/>
      </c>
      <c r="H485" s="23" t="str">
        <f t="shared" si="37"/>
        <v/>
      </c>
      <c r="I485" s="23" t="str">
        <f t="shared" si="39"/>
        <v/>
      </c>
      <c r="J485" s="24" t="str">
        <f>IF(A485="","",IF(A485&lt;=Calculator!C19,"IO","P&amp;I"))</f>
        <v/>
      </c>
    </row>
    <row r="486" spans="1:10" ht="15.75" customHeight="1" x14ac:dyDescent="0.25">
      <c r="A486" s="19" t="str">
        <f>IF(475&lt;=Calculator!C18,475,"")</f>
        <v/>
      </c>
      <c r="B486" s="20" t="str">
        <f t="shared" si="38"/>
        <v/>
      </c>
      <c r="C486" s="20" t="str">
        <f>IF(A486="","",IF(J486="IO",Calculator!C22,IF(B486&gt;0,MIN(Calculator!C21,B486*(1+Calculator!C17)),0)))</f>
        <v/>
      </c>
      <c r="D486" s="20" t="str">
        <f>IF(A486="","",IF(AND(J486="P&amp;I",A486&gt;=Calculator!C9),MIN(Calculator!C8,MAX(0,B486-C486+F486)),0))</f>
        <v/>
      </c>
      <c r="E486" s="20" t="str">
        <f t="shared" si="35"/>
        <v/>
      </c>
      <c r="F486" s="20" t="str">
        <f>IF(A486="","",IF(Calculator!C12="Beginning of Period",MAX(0,(B486-IF(J486="IO",Calculator!C22,Calculator!C21))*Calculator!C17),B486*Calculator!C17))</f>
        <v/>
      </c>
      <c r="G486" s="20" t="str">
        <f t="shared" si="36"/>
        <v/>
      </c>
      <c r="H486" s="20" t="str">
        <f t="shared" si="37"/>
        <v/>
      </c>
      <c r="I486" s="20" t="str">
        <f t="shared" si="39"/>
        <v/>
      </c>
      <c r="J486" s="21" t="str">
        <f>IF(A486="","",IF(A486&lt;=Calculator!C19,"IO","P&amp;I"))</f>
        <v/>
      </c>
    </row>
    <row r="487" spans="1:10" ht="15.75" customHeight="1" x14ac:dyDescent="0.25">
      <c r="A487" s="22" t="str">
        <f>IF(476&lt;=Calculator!C18,476,"")</f>
        <v/>
      </c>
      <c r="B487" s="23" t="str">
        <f t="shared" si="38"/>
        <v/>
      </c>
      <c r="C487" s="23" t="str">
        <f>IF(A487="","",IF(J487="IO",Calculator!C22,IF(B487&gt;0,MIN(Calculator!C21,B487*(1+Calculator!C17)),0)))</f>
        <v/>
      </c>
      <c r="D487" s="23" t="str">
        <f>IF(A487="","",IF(AND(J487="P&amp;I",A487&gt;=Calculator!C9),MIN(Calculator!C8,MAX(0,B487-C487+F487)),0))</f>
        <v/>
      </c>
      <c r="E487" s="23" t="str">
        <f t="shared" si="35"/>
        <v/>
      </c>
      <c r="F487" s="23" t="str">
        <f>IF(A487="","",IF(Calculator!C12="Beginning of Period",MAX(0,(B487-IF(J487="IO",Calculator!C22,Calculator!C21))*Calculator!C17),B487*Calculator!C17))</f>
        <v/>
      </c>
      <c r="G487" s="23" t="str">
        <f t="shared" si="36"/>
        <v/>
      </c>
      <c r="H487" s="23" t="str">
        <f t="shared" si="37"/>
        <v/>
      </c>
      <c r="I487" s="23" t="str">
        <f t="shared" si="39"/>
        <v/>
      </c>
      <c r="J487" s="24" t="str">
        <f>IF(A487="","",IF(A487&lt;=Calculator!C19,"IO","P&amp;I"))</f>
        <v/>
      </c>
    </row>
    <row r="488" spans="1:10" ht="15.75" customHeight="1" x14ac:dyDescent="0.25">
      <c r="A488" s="19" t="str">
        <f>IF(477&lt;=Calculator!C18,477,"")</f>
        <v/>
      </c>
      <c r="B488" s="20" t="str">
        <f t="shared" si="38"/>
        <v/>
      </c>
      <c r="C488" s="20" t="str">
        <f>IF(A488="","",IF(J488="IO",Calculator!C22,IF(B488&gt;0,MIN(Calculator!C21,B488*(1+Calculator!C17)),0)))</f>
        <v/>
      </c>
      <c r="D488" s="20" t="str">
        <f>IF(A488="","",IF(AND(J488="P&amp;I",A488&gt;=Calculator!C9),MIN(Calculator!C8,MAX(0,B488-C488+F488)),0))</f>
        <v/>
      </c>
      <c r="E488" s="20" t="str">
        <f t="shared" si="35"/>
        <v/>
      </c>
      <c r="F488" s="20" t="str">
        <f>IF(A488="","",IF(Calculator!C12="Beginning of Period",MAX(0,(B488-IF(J488="IO",Calculator!C22,Calculator!C21))*Calculator!C17),B488*Calculator!C17))</f>
        <v/>
      </c>
      <c r="G488" s="20" t="str">
        <f t="shared" si="36"/>
        <v/>
      </c>
      <c r="H488" s="20" t="str">
        <f t="shared" si="37"/>
        <v/>
      </c>
      <c r="I488" s="20" t="str">
        <f t="shared" si="39"/>
        <v/>
      </c>
      <c r="J488" s="21" t="str">
        <f>IF(A488="","",IF(A488&lt;=Calculator!C19,"IO","P&amp;I"))</f>
        <v/>
      </c>
    </row>
    <row r="489" spans="1:10" ht="15.75" customHeight="1" x14ac:dyDescent="0.25">
      <c r="A489" s="22" t="str">
        <f>IF(478&lt;=Calculator!C18,478,"")</f>
        <v/>
      </c>
      <c r="B489" s="23" t="str">
        <f t="shared" si="38"/>
        <v/>
      </c>
      <c r="C489" s="23" t="str">
        <f>IF(A489="","",IF(J489="IO",Calculator!C22,IF(B489&gt;0,MIN(Calculator!C21,B489*(1+Calculator!C17)),0)))</f>
        <v/>
      </c>
      <c r="D489" s="23" t="str">
        <f>IF(A489="","",IF(AND(J489="P&amp;I",A489&gt;=Calculator!C9),MIN(Calculator!C8,MAX(0,B489-C489+F489)),0))</f>
        <v/>
      </c>
      <c r="E489" s="23" t="str">
        <f t="shared" si="35"/>
        <v/>
      </c>
      <c r="F489" s="23" t="str">
        <f>IF(A489="","",IF(Calculator!C12="Beginning of Period",MAX(0,(B489-IF(J489="IO",Calculator!C22,Calculator!C21))*Calculator!C17),B489*Calculator!C17))</f>
        <v/>
      </c>
      <c r="G489" s="23" t="str">
        <f t="shared" si="36"/>
        <v/>
      </c>
      <c r="H489" s="23" t="str">
        <f t="shared" si="37"/>
        <v/>
      </c>
      <c r="I489" s="23" t="str">
        <f t="shared" si="39"/>
        <v/>
      </c>
      <c r="J489" s="24" t="str">
        <f>IF(A489="","",IF(A489&lt;=Calculator!C19,"IO","P&amp;I"))</f>
        <v/>
      </c>
    </row>
    <row r="490" spans="1:10" ht="15.75" customHeight="1" x14ac:dyDescent="0.25">
      <c r="A490" s="19" t="str">
        <f>IF(479&lt;=Calculator!C18,479,"")</f>
        <v/>
      </c>
      <c r="B490" s="20" t="str">
        <f t="shared" si="38"/>
        <v/>
      </c>
      <c r="C490" s="20" t="str">
        <f>IF(A490="","",IF(J490="IO",Calculator!C22,IF(B490&gt;0,MIN(Calculator!C21,B490*(1+Calculator!C17)),0)))</f>
        <v/>
      </c>
      <c r="D490" s="20" t="str">
        <f>IF(A490="","",IF(AND(J490="P&amp;I",A490&gt;=Calculator!C9),MIN(Calculator!C8,MAX(0,B490-C490+F490)),0))</f>
        <v/>
      </c>
      <c r="E490" s="20" t="str">
        <f t="shared" si="35"/>
        <v/>
      </c>
      <c r="F490" s="20" t="str">
        <f>IF(A490="","",IF(Calculator!C12="Beginning of Period",MAX(0,(B490-IF(J490="IO",Calculator!C22,Calculator!C21))*Calculator!C17),B490*Calculator!C17))</f>
        <v/>
      </c>
      <c r="G490" s="20" t="str">
        <f t="shared" si="36"/>
        <v/>
      </c>
      <c r="H490" s="20" t="str">
        <f t="shared" si="37"/>
        <v/>
      </c>
      <c r="I490" s="20" t="str">
        <f t="shared" si="39"/>
        <v/>
      </c>
      <c r="J490" s="21" t="str">
        <f>IF(A490="","",IF(A490&lt;=Calculator!C19,"IO","P&amp;I"))</f>
        <v/>
      </c>
    </row>
    <row r="491" spans="1:10" ht="15.75" customHeight="1" x14ac:dyDescent="0.25">
      <c r="A491" s="22" t="str">
        <f>IF(480&lt;=Calculator!C18,480,"")</f>
        <v/>
      </c>
      <c r="B491" s="23" t="str">
        <f t="shared" si="38"/>
        <v/>
      </c>
      <c r="C491" s="23" t="str">
        <f>IF(A491="","",IF(J491="IO",Calculator!C22,IF(B491&gt;0,MIN(Calculator!C21,B491*(1+Calculator!C17)),0)))</f>
        <v/>
      </c>
      <c r="D491" s="23" t="str">
        <f>IF(A491="","",IF(AND(J491="P&amp;I",A491&gt;=Calculator!C9),MIN(Calculator!C8,MAX(0,B491-C491+F491)),0))</f>
        <v/>
      </c>
      <c r="E491" s="23" t="str">
        <f t="shared" si="35"/>
        <v/>
      </c>
      <c r="F491" s="23" t="str">
        <f>IF(A491="","",IF(Calculator!C12="Beginning of Period",MAX(0,(B491-IF(J491="IO",Calculator!C22,Calculator!C21))*Calculator!C17),B491*Calculator!C17))</f>
        <v/>
      </c>
      <c r="G491" s="23" t="str">
        <f t="shared" si="36"/>
        <v/>
      </c>
      <c r="H491" s="23" t="str">
        <f t="shared" si="37"/>
        <v/>
      </c>
      <c r="I491" s="23" t="str">
        <f t="shared" si="39"/>
        <v/>
      </c>
      <c r="J491" s="24" t="str">
        <f>IF(A491="","",IF(A491&lt;=Calculator!C19,"IO","P&amp;I"))</f>
        <v/>
      </c>
    </row>
  </sheetData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Amortization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Richard Rader</cp:lastModifiedBy>
  <cp:revision>0</cp:revision>
  <dcterms:created xsi:type="dcterms:W3CDTF">2026-03-18T18:11:49Z</dcterms:created>
  <dcterms:modified xsi:type="dcterms:W3CDTF">2026-04-20T19:53:30Z</dcterms:modified>
  <dc:language>en-US</dc:language>
</cp:coreProperties>
</file>